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786" firstSheet="1" activeTab="14"/>
  </bookViews>
  <sheets>
    <sheet name="Input" sheetId="1" r:id="rId1"/>
    <sheet name="RM Cost" sheetId="2" r:id="rId2"/>
    <sheet name="Capex" sheetId="3" r:id="rId3"/>
    <sheet name="P&amp;L" sheetId="4" r:id="rId4"/>
    <sheet name="WC" sheetId="5" r:id="rId5"/>
    <sheet name="Interest" sheetId="6" r:id="rId6"/>
    <sheet name="Depreciation" sheetId="7" r:id="rId7"/>
    <sheet name="Tax" sheetId="8" r:id="rId8"/>
    <sheet name="BS" sheetId="9" r:id="rId9"/>
    <sheet name="CF" sheetId="10" r:id="rId10"/>
    <sheet name="Ratios" sheetId="11" r:id="rId11"/>
    <sheet name="PC" sheetId="12" r:id="rId12"/>
    <sheet name="Conclusion" sheetId="13" r:id="rId13"/>
    <sheet name="Imple" sheetId="14" r:id="rId14"/>
    <sheet name="Tariff Calc" sheetId="15" r:id="rId15"/>
  </sheets>
  <externalReferences>
    <externalReference r:id="rId18"/>
  </externalReferences>
  <definedNames>
    <definedName name="cr">'Input'!$E$131</definedName>
    <definedName name="lk">'Input'!#REF!</definedName>
    <definedName name="_xlnm.Print_Area" localSheetId="0">'Input'!$C$2:$AE$179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<sst xmlns="http://schemas.openxmlformats.org/spreadsheetml/2006/main" count="850" uniqueCount="419">
  <si>
    <t>Capacity and Capacity Utilisation</t>
  </si>
  <si>
    <t>Description</t>
  </si>
  <si>
    <t>Unit</t>
  </si>
  <si>
    <t xml:space="preserve">Installed Capacity </t>
  </si>
  <si>
    <t>MW</t>
  </si>
  <si>
    <t>Operational Days in Year</t>
  </si>
  <si>
    <t>Days</t>
  </si>
  <si>
    <t>Operational Hours in a Day</t>
  </si>
  <si>
    <t>Hours</t>
  </si>
  <si>
    <t xml:space="preserve">Capacity Utilisation </t>
  </si>
  <si>
    <t>%</t>
  </si>
  <si>
    <t>Production of Power</t>
  </si>
  <si>
    <t>Kwh</t>
  </si>
  <si>
    <t>Transmission Losses</t>
  </si>
  <si>
    <t>Output at Plant Level</t>
  </si>
  <si>
    <t>Mwh</t>
  </si>
  <si>
    <t>Production in Kwh</t>
  </si>
  <si>
    <t>Auxiliary Consumption</t>
  </si>
  <si>
    <t>Billable Power Generated</t>
  </si>
  <si>
    <t>Selling Price</t>
  </si>
  <si>
    <t>As per PPA</t>
  </si>
  <si>
    <t>Sales of Power</t>
  </si>
  <si>
    <t>Rs. Crores</t>
  </si>
  <si>
    <t>Other Details</t>
  </si>
  <si>
    <t>Value</t>
  </si>
  <si>
    <t>1 Crores =</t>
  </si>
  <si>
    <t>Debt Equity Ratio</t>
  </si>
  <si>
    <t>Ratio</t>
  </si>
  <si>
    <t>Total Revenue</t>
  </si>
  <si>
    <t>Annual Increase</t>
  </si>
  <si>
    <t>Final Unit Rate</t>
  </si>
  <si>
    <t>Profit and Loss Account</t>
  </si>
  <si>
    <t>Operating Costs</t>
  </si>
  <si>
    <t>O&amp;M Expenses</t>
  </si>
  <si>
    <t>Cost of Equity</t>
  </si>
  <si>
    <t>Cost of Long Term Loan</t>
  </si>
  <si>
    <t>Cost of Working Capital Loan</t>
  </si>
  <si>
    <t>Income Tax Rate</t>
  </si>
  <si>
    <t>Minimum Alternate Tax</t>
  </si>
  <si>
    <t>Cost of Capital</t>
  </si>
  <si>
    <t>Working Capital Requirement</t>
  </si>
  <si>
    <t>Maintenance Spares</t>
  </si>
  <si>
    <t>Receivables</t>
  </si>
  <si>
    <t>Building and Civil Work</t>
  </si>
  <si>
    <t>Plant and Machinery</t>
  </si>
  <si>
    <t>Miscellaneous Fixed Assets</t>
  </si>
  <si>
    <t>Depreciation Rate - The Company Act</t>
  </si>
  <si>
    <t>Depreciation Rate - Income Tax Act</t>
  </si>
  <si>
    <t>Fixed Costs</t>
  </si>
  <si>
    <t>Total</t>
  </si>
  <si>
    <t xml:space="preserve">Project Cost </t>
  </si>
  <si>
    <t xml:space="preserve">Contingency </t>
  </si>
  <si>
    <t>Preliminary and Pre-operative</t>
  </si>
  <si>
    <t>Project Phasing</t>
  </si>
  <si>
    <t>Project Cost</t>
  </si>
  <si>
    <t>Interest During Construction</t>
  </si>
  <si>
    <t>Contingency</t>
  </si>
  <si>
    <t>Margin Money for Working Capital</t>
  </si>
  <si>
    <t>Sensitivity Analysis</t>
  </si>
  <si>
    <t>5% increase in Operational Expenses</t>
  </si>
  <si>
    <t>10% increase in Hardware Cost</t>
  </si>
  <si>
    <t>1% increase in Interest Rate</t>
  </si>
  <si>
    <t>Means of Finance</t>
  </si>
  <si>
    <t>Equity</t>
  </si>
  <si>
    <t>Debt</t>
  </si>
  <si>
    <t>Total Means of Finance</t>
  </si>
  <si>
    <t>Term Loan Schedule</t>
  </si>
  <si>
    <t>Interest Rate</t>
  </si>
  <si>
    <t>Annual Summary</t>
  </si>
  <si>
    <t>Opening Balance</t>
  </si>
  <si>
    <t>Repayment during the Period</t>
  </si>
  <si>
    <t>Addition during the Period</t>
  </si>
  <si>
    <t>Closing Balance</t>
  </si>
  <si>
    <t>Interest for the Period</t>
  </si>
  <si>
    <t>IDC</t>
  </si>
  <si>
    <t>Gross Fixed Asset</t>
  </si>
  <si>
    <t>Depreciation</t>
  </si>
  <si>
    <t>Cumulative Depreciation</t>
  </si>
  <si>
    <t>Net Fixed Asset</t>
  </si>
  <si>
    <t>Apportionment Percentage</t>
  </si>
  <si>
    <t>Apportioned Amount</t>
  </si>
  <si>
    <t>Variable Costs</t>
  </si>
  <si>
    <t>Total Fixed Cost</t>
  </si>
  <si>
    <t>Total Operating Cost</t>
  </si>
  <si>
    <t>Total Variable Costs</t>
  </si>
  <si>
    <t>EBDITA</t>
  </si>
  <si>
    <t>EBDITA Margin</t>
  </si>
  <si>
    <t>Interest on Term Loan</t>
  </si>
  <si>
    <t>Interest on Working Capital Loan</t>
  </si>
  <si>
    <t>Expenses Written Off</t>
  </si>
  <si>
    <t>Non-Operating Expenses</t>
  </si>
  <si>
    <t>Total Expenditure</t>
  </si>
  <si>
    <t>Profit Before Tax</t>
  </si>
  <si>
    <t>Applicable Tax</t>
  </si>
  <si>
    <t>Profit After Tax</t>
  </si>
  <si>
    <t>Applicable Tax Rate</t>
  </si>
  <si>
    <t>Total Days in Year</t>
  </si>
  <si>
    <t>Current Assets</t>
  </si>
  <si>
    <t>Creditors</t>
  </si>
  <si>
    <t>Current Liabilities</t>
  </si>
  <si>
    <t>Working Capital Gap</t>
  </si>
  <si>
    <t>Margin Money</t>
  </si>
  <si>
    <t>Bank Borrowing</t>
  </si>
  <si>
    <t>Working Capital Loan</t>
  </si>
  <si>
    <t>Balance Sheet</t>
  </si>
  <si>
    <t>Sources of Funds</t>
  </si>
  <si>
    <t>Reserves and Surplus</t>
  </si>
  <si>
    <t>Total Shareholders Capital</t>
  </si>
  <si>
    <t>Term Loan</t>
  </si>
  <si>
    <t>Total Loan Funds</t>
  </si>
  <si>
    <t>Total Sources of Funds</t>
  </si>
  <si>
    <t>Application of Funds</t>
  </si>
  <si>
    <t>Gross Fixed Assets</t>
  </si>
  <si>
    <t>Net Fixed Assets</t>
  </si>
  <si>
    <t>Investments</t>
  </si>
  <si>
    <t>Current Assets, Liabilities and Provisions</t>
  </si>
  <si>
    <t>Inventories</t>
  </si>
  <si>
    <t>Spares and Consumables</t>
  </si>
  <si>
    <t>Cash</t>
  </si>
  <si>
    <t>Net Current Assets</t>
  </si>
  <si>
    <t>Miscellaneous Expenses Written Off</t>
  </si>
  <si>
    <t>Total Application of Funds</t>
  </si>
  <si>
    <t>Checksum</t>
  </si>
  <si>
    <t>Cash Flow Statement</t>
  </si>
  <si>
    <t>PAT</t>
  </si>
  <si>
    <t>Increase in Equity</t>
  </si>
  <si>
    <t>Increase in Term Loan</t>
  </si>
  <si>
    <t>Increase in Working Capital Loan</t>
  </si>
  <si>
    <t>Increase in Gross Fixed Assets</t>
  </si>
  <si>
    <t>Increase in Working Capital</t>
  </si>
  <si>
    <t>Other Payments</t>
  </si>
  <si>
    <t>Repayment of Term Loan</t>
  </si>
  <si>
    <t>Net Cash Flow</t>
  </si>
  <si>
    <t>Initial Cash Outflow</t>
  </si>
  <si>
    <t>Capital Investment</t>
  </si>
  <si>
    <t>Total Initial Cash Outflow</t>
  </si>
  <si>
    <t>Operating Cash Flow</t>
  </si>
  <si>
    <t>Interest Coverage</t>
  </si>
  <si>
    <t>Total Operating Cash Flow</t>
  </si>
  <si>
    <t>Terminal Cash Flow</t>
  </si>
  <si>
    <t>Salvage Value</t>
  </si>
  <si>
    <t>Working Capital</t>
  </si>
  <si>
    <t>Total Terminal Cash Flow</t>
  </si>
  <si>
    <t>Net Cashflow</t>
  </si>
  <si>
    <t>NPV</t>
  </si>
  <si>
    <t>IRR</t>
  </si>
  <si>
    <t>Post-tax Cost of Capital</t>
  </si>
  <si>
    <t>NPV, IRR</t>
  </si>
  <si>
    <t>DSCR</t>
  </si>
  <si>
    <t>Repayment for the Period</t>
  </si>
  <si>
    <t>Average DSCR</t>
  </si>
  <si>
    <t>Break Even Analysis</t>
  </si>
  <si>
    <t>Total Fixed Cost (incl Dep and Int)</t>
  </si>
  <si>
    <t>Total Variable Cost</t>
  </si>
  <si>
    <t>Contribution</t>
  </si>
  <si>
    <t xml:space="preserve">Contribution Margin </t>
  </si>
  <si>
    <t>Break Even Sales</t>
  </si>
  <si>
    <t>Break Even Margin</t>
  </si>
  <si>
    <t>Cash Break Even</t>
  </si>
  <si>
    <t>Cash Break Even Margin</t>
  </si>
  <si>
    <t>Key Financial Parameters</t>
  </si>
  <si>
    <t>Revenue</t>
  </si>
  <si>
    <t>Total Operating Costs</t>
  </si>
  <si>
    <t>Contribution Margin</t>
  </si>
  <si>
    <t>BEP Sales</t>
  </si>
  <si>
    <t>BEP Capacity Utilisation</t>
  </si>
  <si>
    <t>Net Profit Margin</t>
  </si>
  <si>
    <t>Equity Share Capital</t>
  </si>
  <si>
    <t>Tangible Net Worth (TNW)</t>
  </si>
  <si>
    <t>Total Outside Liability (TOL)</t>
  </si>
  <si>
    <t>TOL/ TNW</t>
  </si>
  <si>
    <t>Minimum DSCR</t>
  </si>
  <si>
    <t>Maximum DSCR</t>
  </si>
  <si>
    <t>Closing Cash Balance (incl Invst)</t>
  </si>
  <si>
    <t>Post-tax CoC</t>
  </si>
  <si>
    <t>Avg. DSCR</t>
  </si>
  <si>
    <t>Base Case</t>
  </si>
  <si>
    <t>Add: Dep. As per Comp. Act</t>
  </si>
  <si>
    <t>Less: Dep. As per IT Act</t>
  </si>
  <si>
    <t>Revised PBT</t>
  </si>
  <si>
    <t>Set- Off of Losses</t>
  </si>
  <si>
    <t>Taxable Income</t>
  </si>
  <si>
    <t>Income Tax</t>
  </si>
  <si>
    <t>MAT</t>
  </si>
  <si>
    <t>Higher Tax of IT and MAT</t>
  </si>
  <si>
    <t>Less: MAT Credit</t>
  </si>
  <si>
    <t>Set off of Lossess</t>
  </si>
  <si>
    <t>Opening Loss</t>
  </si>
  <si>
    <t>Current year's loss</t>
  </si>
  <si>
    <t>Total accumulated loss</t>
  </si>
  <si>
    <t>Maximum loss to be set-off</t>
  </si>
  <si>
    <t>Closing balance</t>
  </si>
  <si>
    <t>MAT Set off</t>
  </si>
  <si>
    <t>MAT payable</t>
  </si>
  <si>
    <t>Cumulitive MAT</t>
  </si>
  <si>
    <t>Normal tax payable</t>
  </si>
  <si>
    <t>Cumulitive Normal tax</t>
  </si>
  <si>
    <t>Max permissable MAT to be set off</t>
  </si>
  <si>
    <t>MAT to be set off</t>
  </si>
  <si>
    <t>MAT Closing Balance</t>
  </si>
  <si>
    <t>Quantity</t>
  </si>
  <si>
    <t>Rate</t>
  </si>
  <si>
    <t>Value (Rs. Crores)</t>
  </si>
  <si>
    <t>Land</t>
  </si>
  <si>
    <t>Total Land and Land Development</t>
  </si>
  <si>
    <t>Building and Civil Works</t>
  </si>
  <si>
    <t>Total Building and Civil Works</t>
  </si>
  <si>
    <t>Plant and Machinery Cost</t>
  </si>
  <si>
    <t>Total Plant and Machinery Cost</t>
  </si>
  <si>
    <t>Fire Fighting Equipment</t>
  </si>
  <si>
    <t>Furniture and Fixture</t>
  </si>
  <si>
    <t>Lumpsum</t>
  </si>
  <si>
    <t>Computers and Software</t>
  </si>
  <si>
    <t>Total Miscellaneous Fixed Assets</t>
  </si>
  <si>
    <t>Statutory Approvals and Clearances</t>
  </si>
  <si>
    <t>Establishment Cost</t>
  </si>
  <si>
    <t>Total Preliminary and Pre-operative</t>
  </si>
  <si>
    <t>Gross Power Generation</t>
  </si>
  <si>
    <t>Bank Processing Charge</t>
  </si>
  <si>
    <t>Min. DSCR</t>
  </si>
  <si>
    <t>Depreciation - Income Tax Act - Written Down Value Method</t>
  </si>
  <si>
    <t>Apportionment of Soft Cost</t>
  </si>
  <si>
    <t>Per MW Capex</t>
  </si>
  <si>
    <t>Net Profit</t>
  </si>
  <si>
    <t>Quarter 1</t>
  </si>
  <si>
    <t>Quarter 2</t>
  </si>
  <si>
    <t>Quarter 3</t>
  </si>
  <si>
    <t>Quarter 4</t>
  </si>
  <si>
    <t>Quarters</t>
  </si>
  <si>
    <t>Amount to FD</t>
  </si>
  <si>
    <t>Interest Income</t>
  </si>
  <si>
    <t>Transfer to Cash</t>
  </si>
  <si>
    <t>INR Crores</t>
  </si>
  <si>
    <t>Manpower Cost</t>
  </si>
  <si>
    <t>Lakh Units</t>
  </si>
  <si>
    <t>Rs./ Kwh</t>
  </si>
  <si>
    <t>Sales Realisation</t>
  </si>
  <si>
    <t>Raw Material Cost</t>
  </si>
  <si>
    <t>Kg/ Kwh</t>
  </si>
  <si>
    <t>Primary Fuel Cost</t>
  </si>
  <si>
    <t>Calorific Value of Coal</t>
  </si>
  <si>
    <t>Kcal/ Kg</t>
  </si>
  <si>
    <t xml:space="preserve">Fuel Mix </t>
  </si>
  <si>
    <t>Calorific Value of Fuel Mix</t>
  </si>
  <si>
    <t>Station Heat Rate</t>
  </si>
  <si>
    <t>Kcal/ Kwh</t>
  </si>
  <si>
    <t>Fuel Mix Required for Generation of 1 Kwh</t>
  </si>
  <si>
    <t>Fuel Required per Annum</t>
  </si>
  <si>
    <t>Tons</t>
  </si>
  <si>
    <t>Price of Fuel</t>
  </si>
  <si>
    <t>Price of Coal</t>
  </si>
  <si>
    <t>Price of Fuel Mix</t>
  </si>
  <si>
    <t>Increase in Fuel Cost</t>
  </si>
  <si>
    <t>Primary Fuel Cost Per Unit</t>
  </si>
  <si>
    <t>Rs./ Ton</t>
  </si>
  <si>
    <t>Secondary Fuel Cost</t>
  </si>
  <si>
    <t>Calorific Value of Fuel Oil</t>
  </si>
  <si>
    <t>Litres</t>
  </si>
  <si>
    <t>Fuel Required for Generation of 1 Kwh</t>
  </si>
  <si>
    <t>Litres/ Kwh</t>
  </si>
  <si>
    <t>KL</t>
  </si>
  <si>
    <t>Price of Fuel Oil</t>
  </si>
  <si>
    <t>Secondary Cost</t>
  </si>
  <si>
    <t>Secondary Fuel Cost Per Unit</t>
  </si>
  <si>
    <t>Rs./Kwh</t>
  </si>
  <si>
    <t>Rs./ KL</t>
  </si>
  <si>
    <t>Total Raw Material Cost</t>
  </si>
  <si>
    <t>Operations and Maintenance Cost</t>
  </si>
  <si>
    <t>% of GFA</t>
  </si>
  <si>
    <t>Increase in Cost</t>
  </si>
  <si>
    <t>Wages</t>
  </si>
  <si>
    <t>% of Sales</t>
  </si>
  <si>
    <t>Admin and General Expenses</t>
  </si>
  <si>
    <t>Insurance Cost</t>
  </si>
  <si>
    <t>% of NFA</t>
  </si>
  <si>
    <t>Sq.M</t>
  </si>
  <si>
    <t>Land Development</t>
  </si>
  <si>
    <t xml:space="preserve">EPC Work </t>
  </si>
  <si>
    <t>Other Miscellaneous Fixed Assets</t>
  </si>
  <si>
    <t>Non-EPC Plant and Machinery (utilities)</t>
  </si>
  <si>
    <t>Start-up Cost</t>
  </si>
  <si>
    <t>Raw Material</t>
  </si>
  <si>
    <t>Maintenance Spare</t>
  </si>
  <si>
    <t xml:space="preserve">Boundary/ Fence </t>
  </si>
  <si>
    <t>M</t>
  </si>
  <si>
    <t>Consultancy Charges</t>
  </si>
  <si>
    <t>Preliminary Studies and Investigation</t>
  </si>
  <si>
    <t>PAT Margin</t>
  </si>
  <si>
    <t>WACC</t>
  </si>
  <si>
    <t>Depreciation - The Company Act - Straight Line Method</t>
  </si>
  <si>
    <t>5% decrease in Capacity Utilisation</t>
  </si>
  <si>
    <t>5% increase in Manpower Cost</t>
  </si>
  <si>
    <t>5% decrease in Selling Price</t>
  </si>
  <si>
    <t>Building and Civil Works (Non-EPC Cost)</t>
  </si>
  <si>
    <t xml:space="preserve">Value </t>
  </si>
  <si>
    <t>Q4</t>
  </si>
  <si>
    <t>Q1</t>
  </si>
  <si>
    <t>Q2</t>
  </si>
  <si>
    <t>Q3</t>
  </si>
  <si>
    <t>Financial Closure</t>
  </si>
  <si>
    <t>Land and Land Development</t>
  </si>
  <si>
    <t>Commercial Operations</t>
  </si>
  <si>
    <t>Basic Engineering</t>
  </si>
  <si>
    <t>Detailed Engineering</t>
  </si>
  <si>
    <t>Placement of Order of Long Lead Items</t>
  </si>
  <si>
    <t>Arrival of Plant and Machinery at Site</t>
  </si>
  <si>
    <t>Building and Construction Work</t>
  </si>
  <si>
    <t>Erection of Plant and Machinery</t>
  </si>
  <si>
    <t>Trial Run</t>
  </si>
  <si>
    <t>BoPT Items (Chimney, Cooling Tower, STP, DM Plant etc.)</t>
  </si>
  <si>
    <t>Bunker</t>
  </si>
  <si>
    <t>Furnace Boiler</t>
  </si>
  <si>
    <t>Prefab</t>
  </si>
  <si>
    <t>Office &amp; Reception</t>
  </si>
  <si>
    <t>Turbine Building</t>
  </si>
  <si>
    <t>Cooling Tower</t>
  </si>
  <si>
    <t>Switch Yard</t>
  </si>
  <si>
    <t>Chimney</t>
  </si>
  <si>
    <t>Foundation  for DM W</t>
  </si>
  <si>
    <t>Bio Gas + Bag Hous</t>
  </si>
  <si>
    <t>Others Foundation- DG, Liquid Fuel Area, Lime Tank, Lime Holding, ETP</t>
  </si>
  <si>
    <t>Other miscellaneous like roads, open area etc.</t>
  </si>
  <si>
    <t>Taxes, Duties, Charges etc.</t>
  </si>
  <si>
    <t>EPC Cost</t>
  </si>
  <si>
    <t>Rate/ MW</t>
  </si>
  <si>
    <t>Sq. M</t>
  </si>
  <si>
    <t>Rs./ MW</t>
  </si>
  <si>
    <t>Make</t>
  </si>
  <si>
    <t>Paharpur Industries/ Doosan India etc.</t>
  </si>
  <si>
    <t xml:space="preserve">Transportation Cost </t>
  </si>
  <si>
    <t>Insurance</t>
  </si>
  <si>
    <t>Calorific Value of Bamboo</t>
  </si>
  <si>
    <t>Taxes</t>
  </si>
  <si>
    <t>2% increase in Interest Rate</t>
  </si>
  <si>
    <t>Tax Calculation</t>
  </si>
  <si>
    <t>Basic Rate</t>
  </si>
  <si>
    <t>Surcharge</t>
  </si>
  <si>
    <t>Cess</t>
  </si>
  <si>
    <t>Effective Corporate Tax Rate</t>
  </si>
  <si>
    <t>MAT Rate</t>
  </si>
  <si>
    <t>Date of Commercial Operations</t>
  </si>
  <si>
    <t>Date</t>
  </si>
  <si>
    <t>Door to Door Tenure</t>
  </si>
  <si>
    <t>Years</t>
  </si>
  <si>
    <t>Construction Period</t>
  </si>
  <si>
    <t>Post Construction Moratorium</t>
  </si>
  <si>
    <t>Repyement Duration</t>
  </si>
  <si>
    <t>Manpower</t>
  </si>
  <si>
    <t>Nos.</t>
  </si>
  <si>
    <t>Plant Head</t>
  </si>
  <si>
    <t>General Manager</t>
  </si>
  <si>
    <t>Senior Managers/ Engineers</t>
  </si>
  <si>
    <t>Admin and Accounts</t>
  </si>
  <si>
    <t>Security</t>
  </si>
  <si>
    <t>Administrative Staff</t>
  </si>
  <si>
    <t>Plant Staff</t>
  </si>
  <si>
    <t>Engineers</t>
  </si>
  <si>
    <t>Supervisors</t>
  </si>
  <si>
    <t>Skilled Labour</t>
  </si>
  <si>
    <t>Unskilled Labour</t>
  </si>
  <si>
    <t>Total Manpower</t>
  </si>
  <si>
    <t>Rs./ Month</t>
  </si>
  <si>
    <t>Year 1</t>
  </si>
  <si>
    <t>Year 2</t>
  </si>
  <si>
    <t>Year 3</t>
  </si>
  <si>
    <t>Land on lease</t>
  </si>
  <si>
    <t>Total price design, engineering, manufacturing, supply, despatch of 50TPH Bamboo fired travel grate stacker boiler with coal option of mixing by 30% with 10 MW condencing turbine on ex-work basis, taxes are extra at actual</t>
  </si>
  <si>
    <t>Price of Wet Bamboo (Harvesting Cost)</t>
  </si>
  <si>
    <t>Bamboo in Mix</t>
  </si>
  <si>
    <t>Coal in Mix</t>
  </si>
  <si>
    <t>Annual Bamboo Requirement</t>
  </si>
  <si>
    <t>Days of Operations</t>
  </si>
  <si>
    <t>Daily Bamboo Requirement</t>
  </si>
  <si>
    <t>Bamboo Harvested per Person</t>
  </si>
  <si>
    <t>Kg</t>
  </si>
  <si>
    <t>Manpower Required</t>
  </si>
  <si>
    <t>Daily Wages</t>
  </si>
  <si>
    <t>Rs.</t>
  </si>
  <si>
    <t>Transportation Cost</t>
  </si>
  <si>
    <t>Rs./Ton</t>
  </si>
  <si>
    <t>Wages per Annum</t>
  </si>
  <si>
    <t>Chipping Machine Capacity</t>
  </si>
  <si>
    <t>TPD</t>
  </si>
  <si>
    <t>Number of Machines</t>
  </si>
  <si>
    <t>Nos</t>
  </si>
  <si>
    <t>Daily Chipping Capacity</t>
  </si>
  <si>
    <t>Annual Capacity</t>
  </si>
  <si>
    <t>Ton</t>
  </si>
  <si>
    <t>Utilisation Level</t>
  </si>
  <si>
    <t>Power Consumption per Ton</t>
  </si>
  <si>
    <t>Total Power Consumption</t>
  </si>
  <si>
    <t>Power Cost</t>
  </si>
  <si>
    <t>Chipping Cost</t>
  </si>
  <si>
    <t>Rs.Crores</t>
  </si>
  <si>
    <t>Chipping and Baling Cost</t>
  </si>
  <si>
    <t>Bamboo Cutting and Stacking Cost</t>
  </si>
  <si>
    <t>Total Cost of Bamboo Harvesting</t>
  </si>
  <si>
    <t>Rs. Crore</t>
  </si>
  <si>
    <t>Lease Rental Cost (Plantation)</t>
  </si>
  <si>
    <t>Lease Reantal per Year</t>
  </si>
  <si>
    <t>Lease Rental Cost</t>
  </si>
  <si>
    <t>Interest in Term Loan</t>
  </si>
  <si>
    <t>Return on Equity</t>
  </si>
  <si>
    <t>Administrative Expense</t>
  </si>
  <si>
    <t>Lease Rental</t>
  </si>
  <si>
    <t>Total Fixed Costs</t>
  </si>
  <si>
    <t>Power Generation</t>
  </si>
  <si>
    <t>Fixed Cost part of Tarriff Rate</t>
  </si>
  <si>
    <t>Fixed Cost per Unit</t>
  </si>
  <si>
    <t>Levelised Fixed Tarriff Rate</t>
  </si>
  <si>
    <t>Variable Cost part of Tarriff Rate</t>
  </si>
  <si>
    <t>O&amp;M Cost</t>
  </si>
  <si>
    <t>Variable Cost per Unit</t>
  </si>
  <si>
    <t>Normal Capex</t>
  </si>
  <si>
    <t>Dividend Issued</t>
  </si>
  <si>
    <t>Retained Earnings</t>
  </si>
  <si>
    <t>Levelised Variable Tarriff Rate</t>
  </si>
  <si>
    <t>Combined Levalised Tarriff Rate</t>
  </si>
  <si>
    <t>Year-wise Tarriff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</si>
</sst>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[$-409]d\-mmm\-yy;@"/>
    <numFmt numFmtId="167" formatCode="_(* #,##0_);_(* \(#,##0\);_(* &quot;-&quot;??_);_(@_)"/>
    <numFmt numFmtId="168" formatCode="_ * #,##0.0_ ;_ * \-#,##0.0_ ;_ * &quot;-&quot;??_ ;_ @_ 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42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164" fontId="0" fillId="0" borderId="10" xfId="42" applyFont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64" fontId="42" fillId="0" borderId="10" xfId="0" applyNumberFormat="1" applyFont="1" applyBorder="1" applyAlignment="1">
      <alignment/>
    </xf>
    <xf numFmtId="10" fontId="0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59" applyNumberFormat="1" applyFont="1" applyBorder="1" applyAlignment="1">
      <alignment/>
    </xf>
    <xf numFmtId="164" fontId="42" fillId="0" borderId="10" xfId="42" applyFont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9" fontId="42" fillId="0" borderId="10" xfId="59" applyFont="1" applyBorder="1" applyAlignment="1">
      <alignment/>
    </xf>
    <xf numFmtId="164" fontId="0" fillId="0" borderId="10" xfId="42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164" fontId="0" fillId="33" borderId="0" xfId="42" applyFont="1" applyFill="1" applyAlignment="1">
      <alignment/>
    </xf>
    <xf numFmtId="164" fontId="42" fillId="0" borderId="10" xfId="42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40" fontId="0" fillId="0" borderId="10" xfId="42" applyNumberFormat="1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167" fontId="0" fillId="0" borderId="10" xfId="42" applyNumberFormat="1" applyFont="1" applyBorder="1" applyAlignment="1">
      <alignment vertical="top"/>
    </xf>
    <xf numFmtId="164" fontId="0" fillId="0" borderId="10" xfId="42" applyFont="1" applyBorder="1" applyAlignment="1">
      <alignment vertical="center"/>
    </xf>
    <xf numFmtId="167" fontId="4" fillId="0" borderId="10" xfId="42" applyNumberFormat="1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42" applyFont="1" applyBorder="1" applyAlignment="1">
      <alignment/>
    </xf>
    <xf numFmtId="0" fontId="30" fillId="20" borderId="10" xfId="0" applyFont="1" applyFill="1" applyBorder="1" applyAlignment="1">
      <alignment/>
    </xf>
    <xf numFmtId="166" fontId="30" fillId="20" borderId="10" xfId="42" applyNumberFormat="1" applyFont="1" applyFill="1" applyBorder="1" applyAlignment="1">
      <alignment/>
    </xf>
    <xf numFmtId="166" fontId="30" fillId="20" borderId="10" xfId="0" applyNumberFormat="1" applyFont="1" applyFill="1" applyBorder="1" applyAlignment="1">
      <alignment/>
    </xf>
    <xf numFmtId="164" fontId="0" fillId="0" borderId="10" xfId="42" applyFont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10" xfId="0" applyNumberFormat="1" applyBorder="1" applyAlignment="1">
      <alignment/>
    </xf>
    <xf numFmtId="165" fontId="0" fillId="0" borderId="10" xfId="42" applyNumberFormat="1" applyFont="1" applyBorder="1" applyAlignment="1">
      <alignment/>
    </xf>
    <xf numFmtId="9" fontId="0" fillId="0" borderId="10" xfId="59" applyFont="1" applyBorder="1" applyAlignment="1">
      <alignment/>
    </xf>
    <xf numFmtId="0" fontId="42" fillId="9" borderId="10" xfId="0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43" fontId="42" fillId="0" borderId="0" xfId="0" applyNumberFormat="1" applyFont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2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164" fontId="46" fillId="0" borderId="10" xfId="42" applyFont="1" applyBorder="1" applyAlignment="1">
      <alignment/>
    </xf>
    <xf numFmtId="10" fontId="42" fillId="0" borderId="10" xfId="59" applyNumberFormat="1" applyFont="1" applyBorder="1" applyAlignment="1">
      <alignment/>
    </xf>
    <xf numFmtId="0" fontId="47" fillId="0" borderId="0" xfId="0" applyFont="1" applyFill="1" applyAlignment="1">
      <alignment/>
    </xf>
    <xf numFmtId="10" fontId="0" fillId="0" borderId="10" xfId="59" applyNumberFormat="1" applyFont="1" applyFill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164" fontId="0" fillId="0" borderId="10" xfId="42" applyFont="1" applyFill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165" fontId="42" fillId="0" borderId="10" xfId="42" applyNumberFormat="1" applyFont="1" applyBorder="1" applyAlignment="1">
      <alignment/>
    </xf>
    <xf numFmtId="165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165" fontId="10" fillId="0" borderId="10" xfId="0" applyNumberFormat="1" applyFont="1" applyFill="1" applyBorder="1" applyAlignment="1">
      <alignment vertical="top" wrapText="1"/>
    </xf>
    <xf numFmtId="167" fontId="42" fillId="0" borderId="10" xfId="42" applyNumberFormat="1" applyFont="1" applyBorder="1" applyAlignment="1">
      <alignment vertical="top"/>
    </xf>
    <xf numFmtId="164" fontId="42" fillId="0" borderId="10" xfId="42" applyFont="1" applyBorder="1" applyAlignment="1">
      <alignment vertical="center"/>
    </xf>
    <xf numFmtId="164" fontId="0" fillId="0" borderId="0" xfId="42" applyFont="1" applyFill="1" applyBorder="1" applyAlignment="1">
      <alignment/>
    </xf>
    <xf numFmtId="9" fontId="0" fillId="0" borderId="0" xfId="59" applyFont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42" fillId="0" borderId="10" xfId="42" applyNumberFormat="1" applyFont="1" applyFill="1" applyBorder="1" applyAlignment="1">
      <alignment/>
    </xf>
    <xf numFmtId="164" fontId="42" fillId="0" borderId="0" xfId="42" applyFont="1" applyBorder="1" applyAlignment="1">
      <alignment horizontal="right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167" fontId="0" fillId="0" borderId="10" xfId="42" applyNumberFormat="1" applyFont="1" applyBorder="1" applyAlignment="1">
      <alignment/>
    </xf>
    <xf numFmtId="9" fontId="42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/>
    </xf>
    <xf numFmtId="10" fontId="43" fillId="0" borderId="10" xfId="0" applyNumberFormat="1" applyFont="1" applyBorder="1" applyAlignment="1">
      <alignment/>
    </xf>
    <xf numFmtId="164" fontId="43" fillId="0" borderId="10" xfId="42" applyFont="1" applyBorder="1" applyAlignment="1">
      <alignment/>
    </xf>
    <xf numFmtId="164" fontId="44" fillId="0" borderId="0" xfId="0" applyNumberFormat="1" applyFont="1" applyFill="1" applyAlignment="1">
      <alignment/>
    </xf>
    <xf numFmtId="0" fontId="42" fillId="0" borderId="0" xfId="56" applyFont="1">
      <alignment/>
      <protection/>
    </xf>
    <xf numFmtId="0" fontId="0" fillId="0" borderId="0" xfId="56">
      <alignment/>
      <protection/>
    </xf>
    <xf numFmtId="0" fontId="0" fillId="0" borderId="10" xfId="0" applyFont="1" applyBorder="1" applyAlignment="1">
      <alignment/>
    </xf>
    <xf numFmtId="164" fontId="0" fillId="0" borderId="10" xfId="44" applyFont="1" applyBorder="1" applyAlignment="1">
      <alignment/>
    </xf>
    <xf numFmtId="0" fontId="0" fillId="0" borderId="0" xfId="0" applyFont="1" applyAlignment="1">
      <alignment/>
    </xf>
    <xf numFmtId="10" fontId="0" fillId="0" borderId="10" xfId="60" applyNumberFormat="1" applyFont="1" applyBorder="1" applyAlignment="1">
      <alignment/>
    </xf>
    <xf numFmtId="164" fontId="0" fillId="0" borderId="10" xfId="44" applyFont="1" applyFill="1" applyBorder="1" applyAlignment="1">
      <alignment/>
    </xf>
    <xf numFmtId="164" fontId="42" fillId="0" borderId="10" xfId="44" applyFont="1" applyBorder="1" applyAlignment="1">
      <alignment/>
    </xf>
    <xf numFmtId="43" fontId="0" fillId="0" borderId="0" xfId="0" applyNumberFormat="1" applyFont="1" applyAlignment="1">
      <alignment/>
    </xf>
    <xf numFmtId="0" fontId="30" fillId="20" borderId="10" xfId="56" applyFont="1" applyFill="1" applyBorder="1">
      <alignment/>
      <protection/>
    </xf>
    <xf numFmtId="15" fontId="30" fillId="20" borderId="10" xfId="56" applyNumberFormat="1" applyFont="1" applyFill="1" applyBorder="1">
      <alignment/>
      <protection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15" fontId="51" fillId="0" borderId="10" xfId="59" applyNumberFormat="1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30" fillId="2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0" fontId="0" fillId="0" borderId="10" xfId="59" applyNumberFormat="1" applyFont="1" applyBorder="1" applyAlignment="1">
      <alignment horizontal="center"/>
    </xf>
    <xf numFmtId="164" fontId="0" fillId="0" borderId="10" xfId="59" applyNumberFormat="1" applyFont="1" applyBorder="1" applyAlignment="1">
      <alignment horizontal="center"/>
    </xf>
    <xf numFmtId="164" fontId="0" fillId="0" borderId="10" xfId="42" applyFont="1" applyBorder="1" applyAlignment="1">
      <alignment horizontal="center"/>
    </xf>
    <xf numFmtId="0" fontId="52" fillId="20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43" fontId="4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2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42" fillId="0" borderId="0" xfId="0" applyFont="1" applyAlignment="1">
      <alignment horizontal="center"/>
    </xf>
    <xf numFmtId="0" fontId="30" fillId="20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1 3 2" xfId="56"/>
    <cellStyle name="Note" xfId="57"/>
    <cellStyle name="Output" xfId="58"/>
    <cellStyle name="Percent" xfId="59"/>
    <cellStyle name="Percent 2 2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95250</xdr:rowOff>
    </xdr:from>
    <xdr:to>
      <xdr:col>31</xdr:col>
      <xdr:colOff>0</xdr:colOff>
      <xdr:row>2</xdr:row>
      <xdr:rowOff>95250</xdr:rowOff>
    </xdr:to>
    <xdr:sp>
      <xdr:nvSpPr>
        <xdr:cNvPr id="1" name="Right Brace 1"/>
        <xdr:cNvSpPr>
          <a:spLocks/>
        </xdr:cNvSpPr>
      </xdr:nvSpPr>
      <xdr:spPr>
        <a:xfrm rot="16200000">
          <a:off x="6257925" y="257175"/>
          <a:ext cx="16430625" cy="161925"/>
        </a:xfrm>
        <a:prstGeom prst="rightBrace">
          <a:avLst/>
        </a:prstGeom>
        <a:noFill/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tsal\Documents\2020\NITCON%20Projects\Swaroop%20Agro\SCPL\SAPL%20-%20DFM%20-%200807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&amp;L"/>
      <sheetName val="WC"/>
      <sheetName val="Depreciation"/>
      <sheetName val="Tax"/>
      <sheetName val="BS"/>
      <sheetName val="CF"/>
      <sheetName val="Ratio"/>
      <sheetName val="Scheme"/>
      <sheetName val="Sacrifice"/>
      <sheetName val="SBI"/>
      <sheetName val="Hist"/>
      <sheetName val="Competition"/>
    </sheetNames>
    <sheetDataSet>
      <sheetData sheetId="3">
        <row r="5">
          <cell r="D5" t="str">
            <v>Rs. Crores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E1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AE179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36.7109375" style="0" bestFit="1" customWidth="1"/>
    <col min="4" max="4" width="10.140625" style="0" customWidth="1"/>
    <col min="5" max="15" width="11.421875" style="0" customWidth="1"/>
    <col min="16" max="17" width="12.140625" style="0" customWidth="1"/>
    <col min="18" max="31" width="11.28125" style="0" bestFit="1" customWidth="1"/>
  </cols>
  <sheetData>
    <row r="2" ht="12.75">
      <c r="C2" s="1" t="s">
        <v>0</v>
      </c>
    </row>
    <row r="4" spans="3:31" s="2" customFormat="1" ht="12.75">
      <c r="C4" s="59" t="s">
        <v>1</v>
      </c>
      <c r="D4" s="59" t="s">
        <v>2</v>
      </c>
      <c r="E4" s="60">
        <v>44651</v>
      </c>
      <c r="F4" s="60">
        <f>E4+365</f>
        <v>45016</v>
      </c>
      <c r="G4" s="60">
        <f>F4+366</f>
        <v>45382</v>
      </c>
      <c r="H4" s="60">
        <f aca="true" t="shared" si="0" ref="H4:X4">G4+365</f>
        <v>45747</v>
      </c>
      <c r="I4" s="60">
        <f t="shared" si="0"/>
        <v>46112</v>
      </c>
      <c r="J4" s="60">
        <f t="shared" si="0"/>
        <v>46477</v>
      </c>
      <c r="K4" s="60">
        <f>J4+366</f>
        <v>46843</v>
      </c>
      <c r="L4" s="60">
        <f t="shared" si="0"/>
        <v>47208</v>
      </c>
      <c r="M4" s="60">
        <f t="shared" si="0"/>
        <v>47573</v>
      </c>
      <c r="N4" s="60">
        <f t="shared" si="0"/>
        <v>47938</v>
      </c>
      <c r="O4" s="60">
        <f>N4+366</f>
        <v>48304</v>
      </c>
      <c r="P4" s="60">
        <f t="shared" si="0"/>
        <v>48669</v>
      </c>
      <c r="Q4" s="60">
        <f t="shared" si="0"/>
        <v>49034</v>
      </c>
      <c r="R4" s="60">
        <f t="shared" si="0"/>
        <v>49399</v>
      </c>
      <c r="S4" s="60">
        <f>R4+366</f>
        <v>49765</v>
      </c>
      <c r="T4" s="60">
        <f t="shared" si="0"/>
        <v>50130</v>
      </c>
      <c r="U4" s="60">
        <f t="shared" si="0"/>
        <v>50495</v>
      </c>
      <c r="V4" s="60">
        <f t="shared" si="0"/>
        <v>50860</v>
      </c>
      <c r="W4" s="60">
        <f>V4+366</f>
        <v>51226</v>
      </c>
      <c r="X4" s="60">
        <f t="shared" si="0"/>
        <v>51591</v>
      </c>
      <c r="Y4" s="60">
        <f aca="true" t="shared" si="1" ref="Y4:AD4">X4+365</f>
        <v>51956</v>
      </c>
      <c r="Z4" s="60">
        <f t="shared" si="1"/>
        <v>52321</v>
      </c>
      <c r="AA4" s="60">
        <f>Z4+366</f>
        <v>52687</v>
      </c>
      <c r="AB4" s="60">
        <f t="shared" si="1"/>
        <v>53052</v>
      </c>
      <c r="AC4" s="60">
        <f t="shared" si="1"/>
        <v>53417</v>
      </c>
      <c r="AD4" s="60">
        <f t="shared" si="1"/>
        <v>53782</v>
      </c>
      <c r="AE4" s="60">
        <f>AD4+366</f>
        <v>54148</v>
      </c>
    </row>
    <row r="5" spans="3:31" ht="12.75">
      <c r="C5" s="5" t="s">
        <v>3</v>
      </c>
      <c r="D5" s="5" t="s">
        <v>4</v>
      </c>
      <c r="E5" s="7">
        <v>10</v>
      </c>
      <c r="F5" s="7">
        <f>E5</f>
        <v>10</v>
      </c>
      <c r="G5" s="7">
        <f aca="true" t="shared" si="2" ref="G5:P6">F5</f>
        <v>10</v>
      </c>
      <c r="H5" s="7">
        <f t="shared" si="2"/>
        <v>10</v>
      </c>
      <c r="I5" s="7">
        <f t="shared" si="2"/>
        <v>10</v>
      </c>
      <c r="J5" s="7">
        <f t="shared" si="2"/>
        <v>10</v>
      </c>
      <c r="K5" s="7">
        <f t="shared" si="2"/>
        <v>10</v>
      </c>
      <c r="L5" s="7">
        <f t="shared" si="2"/>
        <v>10</v>
      </c>
      <c r="M5" s="7">
        <f t="shared" si="2"/>
        <v>10</v>
      </c>
      <c r="N5" s="7">
        <f t="shared" si="2"/>
        <v>10</v>
      </c>
      <c r="O5" s="7">
        <f t="shared" si="2"/>
        <v>10</v>
      </c>
      <c r="P5" s="7">
        <f t="shared" si="2"/>
        <v>10</v>
      </c>
      <c r="Q5" s="7">
        <f>P5</f>
        <v>10</v>
      </c>
      <c r="R5" s="7">
        <f>Q5</f>
        <v>10</v>
      </c>
      <c r="S5" s="7">
        <f>R5</f>
        <v>10</v>
      </c>
      <c r="T5" s="7">
        <f>S5</f>
        <v>10</v>
      </c>
      <c r="U5" s="7">
        <f>T5</f>
        <v>10</v>
      </c>
      <c r="V5" s="7">
        <f>U5</f>
        <v>10</v>
      </c>
      <c r="W5" s="7">
        <f>V5</f>
        <v>10</v>
      </c>
      <c r="X5" s="7">
        <f>W5</f>
        <v>10</v>
      </c>
      <c r="Y5" s="7">
        <f>X5</f>
        <v>10</v>
      </c>
      <c r="Z5" s="7">
        <f>Y5</f>
        <v>10</v>
      </c>
      <c r="AA5" s="7">
        <f>Z5</f>
        <v>10</v>
      </c>
      <c r="AB5" s="7">
        <f>AA5</f>
        <v>10</v>
      </c>
      <c r="AC5" s="7">
        <f>AB5</f>
        <v>10</v>
      </c>
      <c r="AD5" s="7">
        <f>AC5</f>
        <v>10</v>
      </c>
      <c r="AE5" s="7">
        <f>AD5</f>
        <v>10</v>
      </c>
    </row>
    <row r="6" spans="3:31" ht="12.75">
      <c r="C6" s="5" t="s">
        <v>5</v>
      </c>
      <c r="D6" s="5" t="s">
        <v>6</v>
      </c>
      <c r="E6" s="11">
        <v>0</v>
      </c>
      <c r="F6" s="11">
        <v>0</v>
      </c>
      <c r="G6" s="11">
        <v>365</v>
      </c>
      <c r="H6" s="5">
        <v>365</v>
      </c>
      <c r="I6" s="5">
        <f t="shared" si="2"/>
        <v>365</v>
      </c>
      <c r="J6" s="5">
        <f t="shared" si="2"/>
        <v>365</v>
      </c>
      <c r="K6" s="5">
        <f t="shared" si="2"/>
        <v>365</v>
      </c>
      <c r="L6" s="5">
        <f t="shared" si="2"/>
        <v>365</v>
      </c>
      <c r="M6" s="5">
        <f t="shared" si="2"/>
        <v>365</v>
      </c>
      <c r="N6" s="5">
        <f t="shared" si="2"/>
        <v>365</v>
      </c>
      <c r="O6" s="5">
        <f t="shared" si="2"/>
        <v>365</v>
      </c>
      <c r="P6" s="5">
        <f t="shared" si="2"/>
        <v>365</v>
      </c>
      <c r="Q6" s="5">
        <f>P6</f>
        <v>365</v>
      </c>
      <c r="R6" s="5">
        <f>Q6</f>
        <v>365</v>
      </c>
      <c r="S6" s="5">
        <f>R6</f>
        <v>365</v>
      </c>
      <c r="T6" s="5">
        <f>S6</f>
        <v>365</v>
      </c>
      <c r="U6" s="5">
        <f>T6</f>
        <v>365</v>
      </c>
      <c r="V6" s="5">
        <f>U6</f>
        <v>365</v>
      </c>
      <c r="W6" s="5">
        <f>V6</f>
        <v>365</v>
      </c>
      <c r="X6" s="5">
        <f>W6</f>
        <v>365</v>
      </c>
      <c r="Y6" s="5">
        <f>X6</f>
        <v>365</v>
      </c>
      <c r="Z6" s="5">
        <f>Y6</f>
        <v>365</v>
      </c>
      <c r="AA6" s="5">
        <f>Z6</f>
        <v>365</v>
      </c>
      <c r="AB6" s="5">
        <f>AA6</f>
        <v>365</v>
      </c>
      <c r="AC6" s="5">
        <f>AB6</f>
        <v>365</v>
      </c>
      <c r="AD6" s="5">
        <f>AC6</f>
        <v>365</v>
      </c>
      <c r="AE6" s="5">
        <f>AD6</f>
        <v>365</v>
      </c>
    </row>
    <row r="7" spans="3:31" ht="12.75">
      <c r="C7" s="5" t="s">
        <v>7</v>
      </c>
      <c r="D7" s="5" t="s">
        <v>8</v>
      </c>
      <c r="E7" s="54">
        <v>24</v>
      </c>
      <c r="F7" s="54">
        <f>E7</f>
        <v>24</v>
      </c>
      <c r="G7" s="54">
        <f aca="true" t="shared" si="3" ref="G7:P7">F7</f>
        <v>24</v>
      </c>
      <c r="H7" s="55">
        <f t="shared" si="3"/>
        <v>24</v>
      </c>
      <c r="I7" s="55">
        <f t="shared" si="3"/>
        <v>24</v>
      </c>
      <c r="J7" s="55">
        <f t="shared" si="3"/>
        <v>24</v>
      </c>
      <c r="K7" s="55">
        <f t="shared" si="3"/>
        <v>24</v>
      </c>
      <c r="L7" s="55">
        <f t="shared" si="3"/>
        <v>24</v>
      </c>
      <c r="M7" s="55">
        <f t="shared" si="3"/>
        <v>24</v>
      </c>
      <c r="N7" s="55">
        <f t="shared" si="3"/>
        <v>24</v>
      </c>
      <c r="O7" s="55">
        <f t="shared" si="3"/>
        <v>24</v>
      </c>
      <c r="P7" s="55">
        <f t="shared" si="3"/>
        <v>24</v>
      </c>
      <c r="Q7" s="55">
        <f>P7</f>
        <v>24</v>
      </c>
      <c r="R7" s="55">
        <f>Q7</f>
        <v>24</v>
      </c>
      <c r="S7" s="55">
        <f>R7</f>
        <v>24</v>
      </c>
      <c r="T7" s="55">
        <f>S7</f>
        <v>24</v>
      </c>
      <c r="U7" s="55">
        <f>T7</f>
        <v>24</v>
      </c>
      <c r="V7" s="55">
        <f>U7</f>
        <v>24</v>
      </c>
      <c r="W7" s="55">
        <f>V7</f>
        <v>24</v>
      </c>
      <c r="X7" s="55">
        <f>W7</f>
        <v>24</v>
      </c>
      <c r="Y7" s="55">
        <f>X7</f>
        <v>24</v>
      </c>
      <c r="Z7" s="55">
        <f>Y7</f>
        <v>24</v>
      </c>
      <c r="AA7" s="55">
        <f>Z7</f>
        <v>24</v>
      </c>
      <c r="AB7" s="55">
        <f>AA7</f>
        <v>24</v>
      </c>
      <c r="AC7" s="55">
        <f>AB7</f>
        <v>24</v>
      </c>
      <c r="AD7" s="55">
        <f>AC7</f>
        <v>24</v>
      </c>
      <c r="AE7" s="55">
        <f>AD7</f>
        <v>24</v>
      </c>
    </row>
    <row r="8" spans="3:31" ht="12.75">
      <c r="C8" s="5" t="s">
        <v>9</v>
      </c>
      <c r="D8" s="5" t="s">
        <v>10</v>
      </c>
      <c r="E8" s="39">
        <v>0</v>
      </c>
      <c r="F8" s="39">
        <v>0</v>
      </c>
      <c r="G8" s="39">
        <v>0.75</v>
      </c>
      <c r="H8" s="6">
        <f>IF((G8+5%)&lt;=90%,(G8+5%),90%)</f>
        <v>0.8</v>
      </c>
      <c r="I8" s="6">
        <f aca="true" t="shared" si="4" ref="I8:Q8">IF((H8+5%)&lt;=90%,(H8+5%),90%)</f>
        <v>0.8500000000000001</v>
      </c>
      <c r="J8" s="6">
        <f t="shared" si="4"/>
        <v>0.9000000000000001</v>
      </c>
      <c r="K8" s="6">
        <f t="shared" si="4"/>
        <v>0.9</v>
      </c>
      <c r="L8" s="6">
        <f t="shared" si="4"/>
        <v>0.9</v>
      </c>
      <c r="M8" s="6">
        <f t="shared" si="4"/>
        <v>0.9</v>
      </c>
      <c r="N8" s="6">
        <f t="shared" si="4"/>
        <v>0.9</v>
      </c>
      <c r="O8" s="6">
        <f t="shared" si="4"/>
        <v>0.9</v>
      </c>
      <c r="P8" s="6">
        <f t="shared" si="4"/>
        <v>0.9</v>
      </c>
      <c r="Q8" s="6">
        <f t="shared" si="4"/>
        <v>0.9</v>
      </c>
      <c r="R8" s="6">
        <f aca="true" t="shared" si="5" ref="R8:X8">IF((Q8+5%)&lt;=90%,(Q8+5%),90%)</f>
        <v>0.9</v>
      </c>
      <c r="S8" s="6">
        <f t="shared" si="5"/>
        <v>0.9</v>
      </c>
      <c r="T8" s="6">
        <f t="shared" si="5"/>
        <v>0.9</v>
      </c>
      <c r="U8" s="6">
        <f t="shared" si="5"/>
        <v>0.9</v>
      </c>
      <c r="V8" s="6">
        <f t="shared" si="5"/>
        <v>0.9</v>
      </c>
      <c r="W8" s="6">
        <f t="shared" si="5"/>
        <v>0.9</v>
      </c>
      <c r="X8" s="6">
        <f t="shared" si="5"/>
        <v>0.9</v>
      </c>
      <c r="Y8" s="6">
        <f aca="true" t="shared" si="6" ref="Y8:AE8">IF((X8+5%)&lt;=90%,(X8+5%),90%)</f>
        <v>0.9</v>
      </c>
      <c r="Z8" s="6">
        <f t="shared" si="6"/>
        <v>0.9</v>
      </c>
      <c r="AA8" s="6">
        <f t="shared" si="6"/>
        <v>0.9</v>
      </c>
      <c r="AB8" s="6">
        <f t="shared" si="6"/>
        <v>0.9</v>
      </c>
      <c r="AC8" s="6">
        <f t="shared" si="6"/>
        <v>0.9</v>
      </c>
      <c r="AD8" s="6">
        <f t="shared" si="6"/>
        <v>0.9</v>
      </c>
      <c r="AE8" s="6">
        <f t="shared" si="6"/>
        <v>0.9</v>
      </c>
    </row>
    <row r="9" spans="3:31" ht="12.75">
      <c r="C9" s="5" t="s">
        <v>11</v>
      </c>
      <c r="D9" s="5" t="s">
        <v>15</v>
      </c>
      <c r="E9" s="40">
        <f>E5*E6*E7*E8</f>
        <v>0</v>
      </c>
      <c r="F9" s="40">
        <f aca="true" t="shared" si="7" ref="F9:O9">F5*F6*F7*F8</f>
        <v>0</v>
      </c>
      <c r="G9" s="40">
        <f t="shared" si="7"/>
        <v>65700</v>
      </c>
      <c r="H9" s="7">
        <f t="shared" si="7"/>
        <v>70080</v>
      </c>
      <c r="I9" s="7">
        <f t="shared" si="7"/>
        <v>74460.00000000001</v>
      </c>
      <c r="J9" s="7">
        <f t="shared" si="7"/>
        <v>78840.00000000001</v>
      </c>
      <c r="K9" s="7">
        <f t="shared" si="7"/>
        <v>78840</v>
      </c>
      <c r="L9" s="7">
        <f t="shared" si="7"/>
        <v>78840</v>
      </c>
      <c r="M9" s="7">
        <f t="shared" si="7"/>
        <v>78840</v>
      </c>
      <c r="N9" s="7">
        <f t="shared" si="7"/>
        <v>78840</v>
      </c>
      <c r="O9" s="7">
        <f t="shared" si="7"/>
        <v>78840</v>
      </c>
      <c r="P9" s="7">
        <f>P5*P6*P7*P8</f>
        <v>78840</v>
      </c>
      <c r="Q9" s="7">
        <f>Q5*Q6*Q7*Q8</f>
        <v>78840</v>
      </c>
      <c r="R9" s="7">
        <f aca="true" t="shared" si="8" ref="R9:X9">R5*R6*R7*R8</f>
        <v>78840</v>
      </c>
      <c r="S9" s="7">
        <f t="shared" si="8"/>
        <v>78840</v>
      </c>
      <c r="T9" s="7">
        <f t="shared" si="8"/>
        <v>78840</v>
      </c>
      <c r="U9" s="7">
        <f t="shared" si="8"/>
        <v>78840</v>
      </c>
      <c r="V9" s="7">
        <f t="shared" si="8"/>
        <v>78840</v>
      </c>
      <c r="W9" s="7">
        <f t="shared" si="8"/>
        <v>78840</v>
      </c>
      <c r="X9" s="7">
        <f t="shared" si="8"/>
        <v>78840</v>
      </c>
      <c r="Y9" s="7">
        <f aca="true" t="shared" si="9" ref="Y9:AE9">Y5*Y6*Y7*Y8</f>
        <v>78840</v>
      </c>
      <c r="Z9" s="7">
        <f t="shared" si="9"/>
        <v>78840</v>
      </c>
      <c r="AA9" s="7">
        <f t="shared" si="9"/>
        <v>78840</v>
      </c>
      <c r="AB9" s="7">
        <f t="shared" si="9"/>
        <v>78840</v>
      </c>
      <c r="AC9" s="7">
        <f t="shared" si="9"/>
        <v>78840</v>
      </c>
      <c r="AD9" s="7">
        <f t="shared" si="9"/>
        <v>78840</v>
      </c>
      <c r="AE9" s="7">
        <f t="shared" si="9"/>
        <v>78840</v>
      </c>
    </row>
    <row r="10" spans="3:31" ht="12.75">
      <c r="C10" s="5" t="s">
        <v>217</v>
      </c>
      <c r="D10" s="5" t="s">
        <v>15</v>
      </c>
      <c r="E10" s="40">
        <f>E9</f>
        <v>0</v>
      </c>
      <c r="F10" s="40">
        <f>F9</f>
        <v>0</v>
      </c>
      <c r="G10" s="40">
        <f>G9</f>
        <v>65700</v>
      </c>
      <c r="H10" s="40">
        <f aca="true" t="shared" si="10" ref="H10:Q10">H9</f>
        <v>70080</v>
      </c>
      <c r="I10" s="40">
        <f t="shared" si="10"/>
        <v>74460.00000000001</v>
      </c>
      <c r="J10" s="40">
        <f t="shared" si="10"/>
        <v>78840.00000000001</v>
      </c>
      <c r="K10" s="40">
        <f t="shared" si="10"/>
        <v>78840</v>
      </c>
      <c r="L10" s="40">
        <f t="shared" si="10"/>
        <v>78840</v>
      </c>
      <c r="M10" s="40">
        <f t="shared" si="10"/>
        <v>78840</v>
      </c>
      <c r="N10" s="40">
        <f t="shared" si="10"/>
        <v>78840</v>
      </c>
      <c r="O10" s="40">
        <f t="shared" si="10"/>
        <v>78840</v>
      </c>
      <c r="P10" s="40">
        <f t="shared" si="10"/>
        <v>78840</v>
      </c>
      <c r="Q10" s="40">
        <f t="shared" si="10"/>
        <v>78840</v>
      </c>
      <c r="R10" s="40">
        <f aca="true" t="shared" si="11" ref="R10:X10">R9</f>
        <v>78840</v>
      </c>
      <c r="S10" s="40">
        <f t="shared" si="11"/>
        <v>78840</v>
      </c>
      <c r="T10" s="40">
        <f t="shared" si="11"/>
        <v>78840</v>
      </c>
      <c r="U10" s="40">
        <f t="shared" si="11"/>
        <v>78840</v>
      </c>
      <c r="V10" s="40">
        <f t="shared" si="11"/>
        <v>78840</v>
      </c>
      <c r="W10" s="40">
        <f t="shared" si="11"/>
        <v>78840</v>
      </c>
      <c r="X10" s="40">
        <f t="shared" si="11"/>
        <v>78840</v>
      </c>
      <c r="Y10" s="40">
        <f aca="true" t="shared" si="12" ref="Y10:AE10">Y9</f>
        <v>78840</v>
      </c>
      <c r="Z10" s="40">
        <f t="shared" si="12"/>
        <v>78840</v>
      </c>
      <c r="AA10" s="40">
        <f t="shared" si="12"/>
        <v>78840</v>
      </c>
      <c r="AB10" s="40">
        <f t="shared" si="12"/>
        <v>78840</v>
      </c>
      <c r="AC10" s="40">
        <f t="shared" si="12"/>
        <v>78840</v>
      </c>
      <c r="AD10" s="40">
        <f t="shared" si="12"/>
        <v>78840</v>
      </c>
      <c r="AE10" s="40">
        <f t="shared" si="12"/>
        <v>78840</v>
      </c>
    </row>
    <row r="11" spans="5:7" ht="12.75">
      <c r="E11" s="15"/>
      <c r="F11" s="15"/>
      <c r="G11" s="15"/>
    </row>
    <row r="12" spans="3:7" ht="12.75">
      <c r="C12" s="1" t="s">
        <v>16</v>
      </c>
      <c r="E12" s="15"/>
      <c r="F12" s="15"/>
      <c r="G12" s="15"/>
    </row>
    <row r="13" spans="5:7" ht="12.75">
      <c r="E13" s="15"/>
      <c r="F13" s="15"/>
      <c r="G13" s="15"/>
    </row>
    <row r="14" spans="3:31" ht="12.75">
      <c r="C14" s="59" t="s">
        <v>1</v>
      </c>
      <c r="D14" s="59" t="s">
        <v>2</v>
      </c>
      <c r="E14" s="60">
        <f>E4</f>
        <v>44651</v>
      </c>
      <c r="F14" s="60">
        <f aca="true" t="shared" si="13" ref="F14:Q14">F4</f>
        <v>45016</v>
      </c>
      <c r="G14" s="60">
        <f t="shared" si="13"/>
        <v>45382</v>
      </c>
      <c r="H14" s="60">
        <f t="shared" si="13"/>
        <v>45747</v>
      </c>
      <c r="I14" s="60">
        <f t="shared" si="13"/>
        <v>46112</v>
      </c>
      <c r="J14" s="60">
        <f t="shared" si="13"/>
        <v>46477</v>
      </c>
      <c r="K14" s="60">
        <f t="shared" si="13"/>
        <v>46843</v>
      </c>
      <c r="L14" s="60">
        <f t="shared" si="13"/>
        <v>47208</v>
      </c>
      <c r="M14" s="60">
        <f t="shared" si="13"/>
        <v>47573</v>
      </c>
      <c r="N14" s="60">
        <f t="shared" si="13"/>
        <v>47938</v>
      </c>
      <c r="O14" s="60">
        <f t="shared" si="13"/>
        <v>48304</v>
      </c>
      <c r="P14" s="60">
        <f t="shared" si="13"/>
        <v>48669</v>
      </c>
      <c r="Q14" s="60">
        <f t="shared" si="13"/>
        <v>49034</v>
      </c>
      <c r="R14" s="60">
        <f aca="true" t="shared" si="14" ref="R14:X14">R4</f>
        <v>49399</v>
      </c>
      <c r="S14" s="60">
        <f t="shared" si="14"/>
        <v>49765</v>
      </c>
      <c r="T14" s="60">
        <f t="shared" si="14"/>
        <v>50130</v>
      </c>
      <c r="U14" s="60">
        <f t="shared" si="14"/>
        <v>50495</v>
      </c>
      <c r="V14" s="60">
        <f t="shared" si="14"/>
        <v>50860</v>
      </c>
      <c r="W14" s="60">
        <f t="shared" si="14"/>
        <v>51226</v>
      </c>
      <c r="X14" s="60">
        <f t="shared" si="14"/>
        <v>51591</v>
      </c>
      <c r="Y14" s="60">
        <f aca="true" t="shared" si="15" ref="Y14:AE14">Y4</f>
        <v>51956</v>
      </c>
      <c r="Z14" s="60">
        <f t="shared" si="15"/>
        <v>52321</v>
      </c>
      <c r="AA14" s="60">
        <f t="shared" si="15"/>
        <v>52687</v>
      </c>
      <c r="AB14" s="60">
        <f t="shared" si="15"/>
        <v>53052</v>
      </c>
      <c r="AC14" s="60">
        <f t="shared" si="15"/>
        <v>53417</v>
      </c>
      <c r="AD14" s="60">
        <f t="shared" si="15"/>
        <v>53782</v>
      </c>
      <c r="AE14" s="60">
        <f t="shared" si="15"/>
        <v>54148</v>
      </c>
    </row>
    <row r="15" spans="3:31" ht="12.75">
      <c r="C15" s="5" t="s">
        <v>217</v>
      </c>
      <c r="D15" s="5" t="s">
        <v>12</v>
      </c>
      <c r="E15" s="42">
        <f aca="true" t="shared" si="16" ref="E15:AE15">E10*1000*(1-$E$154)</f>
        <v>0</v>
      </c>
      <c r="F15" s="42">
        <f t="shared" si="16"/>
        <v>0</v>
      </c>
      <c r="G15" s="42">
        <f t="shared" si="16"/>
        <v>65700000</v>
      </c>
      <c r="H15" s="42">
        <f t="shared" si="16"/>
        <v>70080000</v>
      </c>
      <c r="I15" s="42">
        <f t="shared" si="16"/>
        <v>74460000.00000001</v>
      </c>
      <c r="J15" s="42">
        <f t="shared" si="16"/>
        <v>78840000.00000001</v>
      </c>
      <c r="K15" s="42">
        <f t="shared" si="16"/>
        <v>78840000</v>
      </c>
      <c r="L15" s="42">
        <f t="shared" si="16"/>
        <v>78840000</v>
      </c>
      <c r="M15" s="42">
        <f t="shared" si="16"/>
        <v>78840000</v>
      </c>
      <c r="N15" s="42">
        <f t="shared" si="16"/>
        <v>78840000</v>
      </c>
      <c r="O15" s="42">
        <f t="shared" si="16"/>
        <v>78840000</v>
      </c>
      <c r="P15" s="42">
        <f t="shared" si="16"/>
        <v>78840000</v>
      </c>
      <c r="Q15" s="42">
        <f t="shared" si="16"/>
        <v>78840000</v>
      </c>
      <c r="R15" s="42">
        <f t="shared" si="16"/>
        <v>78840000</v>
      </c>
      <c r="S15" s="42">
        <f t="shared" si="16"/>
        <v>78840000</v>
      </c>
      <c r="T15" s="42">
        <f t="shared" si="16"/>
        <v>78840000</v>
      </c>
      <c r="U15" s="42">
        <f t="shared" si="16"/>
        <v>78840000</v>
      </c>
      <c r="V15" s="42">
        <f t="shared" si="16"/>
        <v>78840000</v>
      </c>
      <c r="W15" s="42">
        <f t="shared" si="16"/>
        <v>78840000</v>
      </c>
      <c r="X15" s="42">
        <f t="shared" si="16"/>
        <v>78840000</v>
      </c>
      <c r="Y15" s="42">
        <f t="shared" si="16"/>
        <v>78840000</v>
      </c>
      <c r="Z15" s="42">
        <f t="shared" si="16"/>
        <v>78840000</v>
      </c>
      <c r="AA15" s="42">
        <f t="shared" si="16"/>
        <v>78840000</v>
      </c>
      <c r="AB15" s="42">
        <f t="shared" si="16"/>
        <v>78840000</v>
      </c>
      <c r="AC15" s="42">
        <f t="shared" si="16"/>
        <v>78840000</v>
      </c>
      <c r="AD15" s="42">
        <f t="shared" si="16"/>
        <v>78840000</v>
      </c>
      <c r="AE15" s="42">
        <f t="shared" si="16"/>
        <v>78840000</v>
      </c>
    </row>
    <row r="16" spans="3:31" ht="12.75">
      <c r="C16" s="11" t="s">
        <v>17</v>
      </c>
      <c r="D16" s="5" t="s">
        <v>10</v>
      </c>
      <c r="E16" s="41">
        <v>0.125</v>
      </c>
      <c r="F16" s="41">
        <f>E16</f>
        <v>0.125</v>
      </c>
      <c r="G16" s="41">
        <f aca="true" t="shared" si="17" ref="G16:P16">F16</f>
        <v>0.125</v>
      </c>
      <c r="H16" s="12">
        <f t="shared" si="17"/>
        <v>0.125</v>
      </c>
      <c r="I16" s="12">
        <f t="shared" si="17"/>
        <v>0.125</v>
      </c>
      <c r="J16" s="12">
        <f t="shared" si="17"/>
        <v>0.125</v>
      </c>
      <c r="K16" s="12">
        <f t="shared" si="17"/>
        <v>0.125</v>
      </c>
      <c r="L16" s="12">
        <f t="shared" si="17"/>
        <v>0.125</v>
      </c>
      <c r="M16" s="12">
        <f t="shared" si="17"/>
        <v>0.125</v>
      </c>
      <c r="N16" s="12">
        <f t="shared" si="17"/>
        <v>0.125</v>
      </c>
      <c r="O16" s="12">
        <f t="shared" si="17"/>
        <v>0.125</v>
      </c>
      <c r="P16" s="12">
        <f t="shared" si="17"/>
        <v>0.125</v>
      </c>
      <c r="Q16" s="12">
        <f>P16</f>
        <v>0.125</v>
      </c>
      <c r="R16" s="12">
        <f>Q16</f>
        <v>0.125</v>
      </c>
      <c r="S16" s="12">
        <f>R16</f>
        <v>0.125</v>
      </c>
      <c r="T16" s="12">
        <f>S16</f>
        <v>0.125</v>
      </c>
      <c r="U16" s="12">
        <f>T16</f>
        <v>0.125</v>
      </c>
      <c r="V16" s="12">
        <f>U16</f>
        <v>0.125</v>
      </c>
      <c r="W16" s="12">
        <f>V16</f>
        <v>0.125</v>
      </c>
      <c r="X16" s="12">
        <f>W16</f>
        <v>0.125</v>
      </c>
      <c r="Y16" s="12">
        <f>X16</f>
        <v>0.125</v>
      </c>
      <c r="Z16" s="12">
        <f>Y16</f>
        <v>0.125</v>
      </c>
      <c r="AA16" s="12">
        <f>Z16</f>
        <v>0.125</v>
      </c>
      <c r="AB16" s="12">
        <f>AA16</f>
        <v>0.125</v>
      </c>
      <c r="AC16" s="12">
        <f>AB16</f>
        <v>0.125</v>
      </c>
      <c r="AD16" s="12">
        <f>AC16</f>
        <v>0.125</v>
      </c>
      <c r="AE16" s="12">
        <f>AD16</f>
        <v>0.125</v>
      </c>
    </row>
    <row r="17" spans="3:31" ht="12.75">
      <c r="C17" s="11" t="s">
        <v>17</v>
      </c>
      <c r="D17" s="5" t="s">
        <v>12</v>
      </c>
      <c r="E17" s="42">
        <f>E15*E16</f>
        <v>0</v>
      </c>
      <c r="F17" s="42">
        <f aca="true" t="shared" si="18" ref="F17:O17">F15*F16</f>
        <v>0</v>
      </c>
      <c r="G17" s="42">
        <f t="shared" si="18"/>
        <v>8212500</v>
      </c>
      <c r="H17" s="42">
        <f t="shared" si="18"/>
        <v>8760000</v>
      </c>
      <c r="I17" s="42">
        <f t="shared" si="18"/>
        <v>9307500.000000002</v>
      </c>
      <c r="J17" s="42">
        <f t="shared" si="18"/>
        <v>9855000.000000002</v>
      </c>
      <c r="K17" s="42">
        <f t="shared" si="18"/>
        <v>9855000</v>
      </c>
      <c r="L17" s="42">
        <f t="shared" si="18"/>
        <v>9855000</v>
      </c>
      <c r="M17" s="42">
        <f t="shared" si="18"/>
        <v>9855000</v>
      </c>
      <c r="N17" s="42">
        <f t="shared" si="18"/>
        <v>9855000</v>
      </c>
      <c r="O17" s="42">
        <f t="shared" si="18"/>
        <v>9855000</v>
      </c>
      <c r="P17" s="42">
        <f>P15*P16</f>
        <v>9855000</v>
      </c>
      <c r="Q17" s="42">
        <f>Q15*Q16</f>
        <v>9855000</v>
      </c>
      <c r="R17" s="42">
        <f aca="true" t="shared" si="19" ref="R17:X17">R15*R16</f>
        <v>9855000</v>
      </c>
      <c r="S17" s="42">
        <f t="shared" si="19"/>
        <v>9855000</v>
      </c>
      <c r="T17" s="42">
        <f t="shared" si="19"/>
        <v>9855000</v>
      </c>
      <c r="U17" s="42">
        <f t="shared" si="19"/>
        <v>9855000</v>
      </c>
      <c r="V17" s="42">
        <f t="shared" si="19"/>
        <v>9855000</v>
      </c>
      <c r="W17" s="42">
        <f t="shared" si="19"/>
        <v>9855000</v>
      </c>
      <c r="X17" s="42">
        <f t="shared" si="19"/>
        <v>9855000</v>
      </c>
      <c r="Y17" s="42">
        <f aca="true" t="shared" si="20" ref="Y17:AE17">Y15*Y16</f>
        <v>9855000</v>
      </c>
      <c r="Z17" s="42">
        <f t="shared" si="20"/>
        <v>9855000</v>
      </c>
      <c r="AA17" s="42">
        <f t="shared" si="20"/>
        <v>9855000</v>
      </c>
      <c r="AB17" s="42">
        <f t="shared" si="20"/>
        <v>9855000</v>
      </c>
      <c r="AC17" s="42">
        <f t="shared" si="20"/>
        <v>9855000</v>
      </c>
      <c r="AD17" s="42">
        <f t="shared" si="20"/>
        <v>9855000</v>
      </c>
      <c r="AE17" s="42">
        <f t="shared" si="20"/>
        <v>9855000</v>
      </c>
    </row>
    <row r="18" spans="3:31" ht="12.75">
      <c r="C18" s="11" t="s">
        <v>14</v>
      </c>
      <c r="D18" s="5" t="s">
        <v>12</v>
      </c>
      <c r="E18" s="42">
        <f>E15-E17</f>
        <v>0</v>
      </c>
      <c r="F18" s="42">
        <f aca="true" t="shared" si="21" ref="F18:O18">F15-F17</f>
        <v>0</v>
      </c>
      <c r="G18" s="42">
        <f t="shared" si="21"/>
        <v>57487500</v>
      </c>
      <c r="H18" s="42">
        <f t="shared" si="21"/>
        <v>61320000</v>
      </c>
      <c r="I18" s="42">
        <f t="shared" si="21"/>
        <v>65152500.000000015</v>
      </c>
      <c r="J18" s="42">
        <f t="shared" si="21"/>
        <v>68985000.00000001</v>
      </c>
      <c r="K18" s="42">
        <f t="shared" si="21"/>
        <v>68985000</v>
      </c>
      <c r="L18" s="42">
        <f t="shared" si="21"/>
        <v>68985000</v>
      </c>
      <c r="M18" s="42">
        <f t="shared" si="21"/>
        <v>68985000</v>
      </c>
      <c r="N18" s="42">
        <f t="shared" si="21"/>
        <v>68985000</v>
      </c>
      <c r="O18" s="42">
        <f t="shared" si="21"/>
        <v>68985000</v>
      </c>
      <c r="P18" s="42">
        <f>P15-P17</f>
        <v>68985000</v>
      </c>
      <c r="Q18" s="42">
        <f>Q15-Q17</f>
        <v>68985000</v>
      </c>
      <c r="R18" s="42">
        <f aca="true" t="shared" si="22" ref="R18:X18">R15-R17</f>
        <v>68985000</v>
      </c>
      <c r="S18" s="42">
        <f t="shared" si="22"/>
        <v>68985000</v>
      </c>
      <c r="T18" s="42">
        <f t="shared" si="22"/>
        <v>68985000</v>
      </c>
      <c r="U18" s="42">
        <f t="shared" si="22"/>
        <v>68985000</v>
      </c>
      <c r="V18" s="42">
        <f t="shared" si="22"/>
        <v>68985000</v>
      </c>
      <c r="W18" s="42">
        <f t="shared" si="22"/>
        <v>68985000</v>
      </c>
      <c r="X18" s="42">
        <f t="shared" si="22"/>
        <v>68985000</v>
      </c>
      <c r="Y18" s="42">
        <f aca="true" t="shared" si="23" ref="Y18:AE18">Y15-Y17</f>
        <v>68985000</v>
      </c>
      <c r="Z18" s="42">
        <f t="shared" si="23"/>
        <v>68985000</v>
      </c>
      <c r="AA18" s="42">
        <f t="shared" si="23"/>
        <v>68985000</v>
      </c>
      <c r="AB18" s="42">
        <f t="shared" si="23"/>
        <v>68985000</v>
      </c>
      <c r="AC18" s="42">
        <f t="shared" si="23"/>
        <v>68985000</v>
      </c>
      <c r="AD18" s="42">
        <f t="shared" si="23"/>
        <v>68985000</v>
      </c>
      <c r="AE18" s="42">
        <f t="shared" si="23"/>
        <v>68985000</v>
      </c>
    </row>
    <row r="19" spans="3:31" ht="12.75">
      <c r="C19" s="11" t="s">
        <v>13</v>
      </c>
      <c r="D19" s="11" t="s">
        <v>10</v>
      </c>
      <c r="E19" s="44">
        <v>0.025</v>
      </c>
      <c r="F19" s="44">
        <f>E19</f>
        <v>0.025</v>
      </c>
      <c r="G19" s="44">
        <f aca="true" t="shared" si="24" ref="G19:P19">F19</f>
        <v>0.025</v>
      </c>
      <c r="H19" s="44">
        <f t="shared" si="24"/>
        <v>0.025</v>
      </c>
      <c r="I19" s="44">
        <f t="shared" si="24"/>
        <v>0.025</v>
      </c>
      <c r="J19" s="44">
        <f t="shared" si="24"/>
        <v>0.025</v>
      </c>
      <c r="K19" s="44">
        <f t="shared" si="24"/>
        <v>0.025</v>
      </c>
      <c r="L19" s="44">
        <f t="shared" si="24"/>
        <v>0.025</v>
      </c>
      <c r="M19" s="44">
        <f t="shared" si="24"/>
        <v>0.025</v>
      </c>
      <c r="N19" s="44">
        <f t="shared" si="24"/>
        <v>0.025</v>
      </c>
      <c r="O19" s="44">
        <f t="shared" si="24"/>
        <v>0.025</v>
      </c>
      <c r="P19" s="44">
        <f t="shared" si="24"/>
        <v>0.025</v>
      </c>
      <c r="Q19" s="44">
        <f>P19</f>
        <v>0.025</v>
      </c>
      <c r="R19" s="44">
        <f>Q19</f>
        <v>0.025</v>
      </c>
      <c r="S19" s="44">
        <f>R19</f>
        <v>0.025</v>
      </c>
      <c r="T19" s="44">
        <f>S19</f>
        <v>0.025</v>
      </c>
      <c r="U19" s="44">
        <f>T19</f>
        <v>0.025</v>
      </c>
      <c r="V19" s="44">
        <f>U19</f>
        <v>0.025</v>
      </c>
      <c r="W19" s="44">
        <f>V19</f>
        <v>0.025</v>
      </c>
      <c r="X19" s="44">
        <f>W19</f>
        <v>0.025</v>
      </c>
      <c r="Y19" s="44">
        <f>X19</f>
        <v>0.025</v>
      </c>
      <c r="Z19" s="44">
        <f>Y19</f>
        <v>0.025</v>
      </c>
      <c r="AA19" s="44">
        <f>Z19</f>
        <v>0.025</v>
      </c>
      <c r="AB19" s="44">
        <f>AA19</f>
        <v>0.025</v>
      </c>
      <c r="AC19" s="44">
        <f>AB19</f>
        <v>0.025</v>
      </c>
      <c r="AD19" s="44">
        <f>AC19</f>
        <v>0.025</v>
      </c>
      <c r="AE19" s="44">
        <f>AD19</f>
        <v>0.025</v>
      </c>
    </row>
    <row r="20" spans="3:31" ht="12.75">
      <c r="C20" s="11" t="s">
        <v>13</v>
      </c>
      <c r="D20" s="5" t="s">
        <v>12</v>
      </c>
      <c r="E20" s="42">
        <f>E18*E19</f>
        <v>0</v>
      </c>
      <c r="F20" s="42">
        <f aca="true" t="shared" si="25" ref="F20:O20">F18*F19</f>
        <v>0</v>
      </c>
      <c r="G20" s="42">
        <f t="shared" si="25"/>
        <v>1437187.5</v>
      </c>
      <c r="H20" s="42">
        <f t="shared" si="25"/>
        <v>1533000</v>
      </c>
      <c r="I20" s="42">
        <f t="shared" si="25"/>
        <v>1628812.5000000005</v>
      </c>
      <c r="J20" s="42">
        <f t="shared" si="25"/>
        <v>1724625.0000000005</v>
      </c>
      <c r="K20" s="42">
        <f t="shared" si="25"/>
        <v>1724625</v>
      </c>
      <c r="L20" s="42">
        <f t="shared" si="25"/>
        <v>1724625</v>
      </c>
      <c r="M20" s="42">
        <f t="shared" si="25"/>
        <v>1724625</v>
      </c>
      <c r="N20" s="42">
        <f t="shared" si="25"/>
        <v>1724625</v>
      </c>
      <c r="O20" s="42">
        <f t="shared" si="25"/>
        <v>1724625</v>
      </c>
      <c r="P20" s="42">
        <f>P18*P19</f>
        <v>1724625</v>
      </c>
      <c r="Q20" s="42">
        <f>Q18*Q19</f>
        <v>1724625</v>
      </c>
      <c r="R20" s="42">
        <f aca="true" t="shared" si="26" ref="R20:X20">R18*R19</f>
        <v>1724625</v>
      </c>
      <c r="S20" s="42">
        <f t="shared" si="26"/>
        <v>1724625</v>
      </c>
      <c r="T20" s="42">
        <f t="shared" si="26"/>
        <v>1724625</v>
      </c>
      <c r="U20" s="42">
        <f t="shared" si="26"/>
        <v>1724625</v>
      </c>
      <c r="V20" s="42">
        <f t="shared" si="26"/>
        <v>1724625</v>
      </c>
      <c r="W20" s="42">
        <f t="shared" si="26"/>
        <v>1724625</v>
      </c>
      <c r="X20" s="42">
        <f t="shared" si="26"/>
        <v>1724625</v>
      </c>
      <c r="Y20" s="42">
        <f aca="true" t="shared" si="27" ref="Y20:AE20">Y18*Y19</f>
        <v>1724625</v>
      </c>
      <c r="Z20" s="42">
        <f t="shared" si="27"/>
        <v>1724625</v>
      </c>
      <c r="AA20" s="42">
        <f t="shared" si="27"/>
        <v>1724625</v>
      </c>
      <c r="AB20" s="42">
        <f t="shared" si="27"/>
        <v>1724625</v>
      </c>
      <c r="AC20" s="42">
        <f t="shared" si="27"/>
        <v>1724625</v>
      </c>
      <c r="AD20" s="42">
        <f t="shared" si="27"/>
        <v>1724625</v>
      </c>
      <c r="AE20" s="42">
        <f t="shared" si="27"/>
        <v>1724625</v>
      </c>
    </row>
    <row r="21" spans="3:31" ht="12.75" hidden="1">
      <c r="C21" s="11" t="s">
        <v>18</v>
      </c>
      <c r="D21" s="5" t="s">
        <v>12</v>
      </c>
      <c r="E21" s="42">
        <f>E18-E20</f>
        <v>0</v>
      </c>
      <c r="F21" s="42">
        <f aca="true" t="shared" si="28" ref="F21:O21">F18-F20</f>
        <v>0</v>
      </c>
      <c r="G21" s="42">
        <f t="shared" si="28"/>
        <v>56050312.5</v>
      </c>
      <c r="H21" s="8">
        <f t="shared" si="28"/>
        <v>59787000</v>
      </c>
      <c r="I21" s="8">
        <f t="shared" si="28"/>
        <v>63523687.500000015</v>
      </c>
      <c r="J21" s="8">
        <f t="shared" si="28"/>
        <v>67260375.00000001</v>
      </c>
      <c r="K21" s="8">
        <f t="shared" si="28"/>
        <v>67260375</v>
      </c>
      <c r="L21" s="8">
        <f t="shared" si="28"/>
        <v>67260375</v>
      </c>
      <c r="M21" s="8">
        <f t="shared" si="28"/>
        <v>67260375</v>
      </c>
      <c r="N21" s="8">
        <f t="shared" si="28"/>
        <v>67260375</v>
      </c>
      <c r="O21" s="8">
        <f t="shared" si="28"/>
        <v>67260375</v>
      </c>
      <c r="P21" s="8">
        <f>P18-P20</f>
        <v>67260375</v>
      </c>
      <c r="Q21" s="8">
        <f>Q18-Q20</f>
        <v>67260375</v>
      </c>
      <c r="R21" s="8">
        <f aca="true" t="shared" si="29" ref="R21:X21">R18-R20</f>
        <v>67260375</v>
      </c>
      <c r="S21" s="8">
        <f t="shared" si="29"/>
        <v>67260375</v>
      </c>
      <c r="T21" s="8">
        <f t="shared" si="29"/>
        <v>67260375</v>
      </c>
      <c r="U21" s="8">
        <f t="shared" si="29"/>
        <v>67260375</v>
      </c>
      <c r="V21" s="8">
        <f t="shared" si="29"/>
        <v>67260375</v>
      </c>
      <c r="W21" s="8">
        <f t="shared" si="29"/>
        <v>67260375</v>
      </c>
      <c r="X21" s="8">
        <f t="shared" si="29"/>
        <v>67260375</v>
      </c>
      <c r="Y21" s="8">
        <f aca="true" t="shared" si="30" ref="Y21:AE21">Y18-Y20</f>
        <v>67260375</v>
      </c>
      <c r="Z21" s="8">
        <f t="shared" si="30"/>
        <v>67260375</v>
      </c>
      <c r="AA21" s="8">
        <f t="shared" si="30"/>
        <v>67260375</v>
      </c>
      <c r="AB21" s="8">
        <f t="shared" si="30"/>
        <v>67260375</v>
      </c>
      <c r="AC21" s="8">
        <f t="shared" si="30"/>
        <v>67260375</v>
      </c>
      <c r="AD21" s="8">
        <f t="shared" si="30"/>
        <v>67260375</v>
      </c>
      <c r="AE21" s="8">
        <f t="shared" si="30"/>
        <v>67260375</v>
      </c>
    </row>
    <row r="22" spans="3:31" ht="12.75">
      <c r="C22" s="11" t="s">
        <v>18</v>
      </c>
      <c r="D22" s="5" t="s">
        <v>234</v>
      </c>
      <c r="E22" s="14">
        <f>E21/100000</f>
        <v>0</v>
      </c>
      <c r="F22" s="14">
        <f aca="true" t="shared" si="31" ref="F22:Q22">F21/100000</f>
        <v>0</v>
      </c>
      <c r="G22" s="14">
        <f t="shared" si="31"/>
        <v>560.503125</v>
      </c>
      <c r="H22" s="14">
        <f t="shared" si="31"/>
        <v>597.87</v>
      </c>
      <c r="I22" s="14">
        <f t="shared" si="31"/>
        <v>635.2368750000002</v>
      </c>
      <c r="J22" s="14">
        <f t="shared" si="31"/>
        <v>672.6037500000001</v>
      </c>
      <c r="K22" s="14">
        <f t="shared" si="31"/>
        <v>672.60375</v>
      </c>
      <c r="L22" s="14">
        <f t="shared" si="31"/>
        <v>672.60375</v>
      </c>
      <c r="M22" s="14">
        <f t="shared" si="31"/>
        <v>672.60375</v>
      </c>
      <c r="N22" s="14">
        <f t="shared" si="31"/>
        <v>672.60375</v>
      </c>
      <c r="O22" s="14">
        <f t="shared" si="31"/>
        <v>672.60375</v>
      </c>
      <c r="P22" s="14">
        <f t="shared" si="31"/>
        <v>672.60375</v>
      </c>
      <c r="Q22" s="14">
        <f t="shared" si="31"/>
        <v>672.60375</v>
      </c>
      <c r="R22" s="14">
        <f aca="true" t="shared" si="32" ref="R22:X22">R21/100000</f>
        <v>672.60375</v>
      </c>
      <c r="S22" s="14">
        <f t="shared" si="32"/>
        <v>672.60375</v>
      </c>
      <c r="T22" s="14">
        <f t="shared" si="32"/>
        <v>672.60375</v>
      </c>
      <c r="U22" s="14">
        <f t="shared" si="32"/>
        <v>672.60375</v>
      </c>
      <c r="V22" s="14">
        <f t="shared" si="32"/>
        <v>672.60375</v>
      </c>
      <c r="W22" s="14">
        <f t="shared" si="32"/>
        <v>672.60375</v>
      </c>
      <c r="X22" s="14">
        <f t="shared" si="32"/>
        <v>672.60375</v>
      </c>
      <c r="Y22" s="14">
        <f aca="true" t="shared" si="33" ref="Y22:AE22">Y21/100000</f>
        <v>672.60375</v>
      </c>
      <c r="Z22" s="14">
        <f t="shared" si="33"/>
        <v>672.60375</v>
      </c>
      <c r="AA22" s="14">
        <f t="shared" si="33"/>
        <v>672.60375</v>
      </c>
      <c r="AB22" s="14">
        <f t="shared" si="33"/>
        <v>672.60375</v>
      </c>
      <c r="AC22" s="14">
        <f t="shared" si="33"/>
        <v>672.60375</v>
      </c>
      <c r="AD22" s="14">
        <f t="shared" si="33"/>
        <v>672.60375</v>
      </c>
      <c r="AE22" s="14">
        <f t="shared" si="33"/>
        <v>672.60375</v>
      </c>
    </row>
    <row r="23" spans="3:17" ht="12.75">
      <c r="C23" s="56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ht="12.75">
      <c r="C24" s="1" t="s">
        <v>19</v>
      </c>
    </row>
    <row r="26" spans="3:31" ht="12.75">
      <c r="C26" s="59" t="s">
        <v>1</v>
      </c>
      <c r="D26" s="59" t="s">
        <v>2</v>
      </c>
      <c r="E26" s="60">
        <f>E14</f>
        <v>44651</v>
      </c>
      <c r="F26" s="60">
        <f aca="true" t="shared" si="34" ref="F26:Q26">F14</f>
        <v>45016</v>
      </c>
      <c r="G26" s="60">
        <f t="shared" si="34"/>
        <v>45382</v>
      </c>
      <c r="H26" s="60">
        <f t="shared" si="34"/>
        <v>45747</v>
      </c>
      <c r="I26" s="60">
        <f t="shared" si="34"/>
        <v>46112</v>
      </c>
      <c r="J26" s="60">
        <f t="shared" si="34"/>
        <v>46477</v>
      </c>
      <c r="K26" s="60">
        <f t="shared" si="34"/>
        <v>46843</v>
      </c>
      <c r="L26" s="60">
        <f t="shared" si="34"/>
        <v>47208</v>
      </c>
      <c r="M26" s="60">
        <f t="shared" si="34"/>
        <v>47573</v>
      </c>
      <c r="N26" s="60">
        <f t="shared" si="34"/>
        <v>47938</v>
      </c>
      <c r="O26" s="60">
        <f t="shared" si="34"/>
        <v>48304</v>
      </c>
      <c r="P26" s="60">
        <f t="shared" si="34"/>
        <v>48669</v>
      </c>
      <c r="Q26" s="60">
        <f t="shared" si="34"/>
        <v>49034</v>
      </c>
      <c r="R26" s="60">
        <f aca="true" t="shared" si="35" ref="R26:X26">R14</f>
        <v>49399</v>
      </c>
      <c r="S26" s="60">
        <f t="shared" si="35"/>
        <v>49765</v>
      </c>
      <c r="T26" s="60">
        <f t="shared" si="35"/>
        <v>50130</v>
      </c>
      <c r="U26" s="60">
        <f t="shared" si="35"/>
        <v>50495</v>
      </c>
      <c r="V26" s="60">
        <f t="shared" si="35"/>
        <v>50860</v>
      </c>
      <c r="W26" s="60">
        <f t="shared" si="35"/>
        <v>51226</v>
      </c>
      <c r="X26" s="60">
        <f t="shared" si="35"/>
        <v>51591</v>
      </c>
      <c r="Y26" s="60">
        <f aca="true" t="shared" si="36" ref="Y26:AE26">Y14</f>
        <v>51956</v>
      </c>
      <c r="Z26" s="60">
        <f t="shared" si="36"/>
        <v>52321</v>
      </c>
      <c r="AA26" s="60">
        <f t="shared" si="36"/>
        <v>52687</v>
      </c>
      <c r="AB26" s="60">
        <f t="shared" si="36"/>
        <v>53052</v>
      </c>
      <c r="AC26" s="60">
        <f t="shared" si="36"/>
        <v>53417</v>
      </c>
      <c r="AD26" s="60">
        <f t="shared" si="36"/>
        <v>53782</v>
      </c>
      <c r="AE26" s="60">
        <f t="shared" si="36"/>
        <v>54148</v>
      </c>
    </row>
    <row r="27" spans="3:31" s="17" customFormat="1" ht="12.75">
      <c r="C27" s="18" t="s">
        <v>20</v>
      </c>
      <c r="D27" s="18" t="s">
        <v>235</v>
      </c>
      <c r="E27" s="86">
        <f>5.99*(1-$E$155)</f>
        <v>5.99</v>
      </c>
      <c r="F27" s="86">
        <f>E27</f>
        <v>5.99</v>
      </c>
      <c r="G27" s="86">
        <f aca="true" t="shared" si="37" ref="G27:P28">F27</f>
        <v>5.99</v>
      </c>
      <c r="H27" s="86">
        <f t="shared" si="37"/>
        <v>5.99</v>
      </c>
      <c r="I27" s="14">
        <f t="shared" si="37"/>
        <v>5.99</v>
      </c>
      <c r="J27" s="14">
        <f t="shared" si="37"/>
        <v>5.99</v>
      </c>
      <c r="K27" s="14">
        <f t="shared" si="37"/>
        <v>5.99</v>
      </c>
      <c r="L27" s="14">
        <f t="shared" si="37"/>
        <v>5.99</v>
      </c>
      <c r="M27" s="14">
        <f t="shared" si="37"/>
        <v>5.99</v>
      </c>
      <c r="N27" s="14">
        <f t="shared" si="37"/>
        <v>5.99</v>
      </c>
      <c r="O27" s="14">
        <f t="shared" si="37"/>
        <v>5.99</v>
      </c>
      <c r="P27" s="14">
        <f t="shared" si="37"/>
        <v>5.99</v>
      </c>
      <c r="Q27" s="14">
        <f>P27</f>
        <v>5.99</v>
      </c>
      <c r="R27" s="14">
        <f>Q27</f>
        <v>5.99</v>
      </c>
      <c r="S27" s="14">
        <f>R27</f>
        <v>5.99</v>
      </c>
      <c r="T27" s="14">
        <f>S27</f>
        <v>5.99</v>
      </c>
      <c r="U27" s="14">
        <f>T27</f>
        <v>5.99</v>
      </c>
      <c r="V27" s="14">
        <f>U27</f>
        <v>5.99</v>
      </c>
      <c r="W27" s="14">
        <f>V27</f>
        <v>5.99</v>
      </c>
      <c r="X27" s="14">
        <f>W27</f>
        <v>5.99</v>
      </c>
      <c r="Y27" s="14">
        <f>X27</f>
        <v>5.99</v>
      </c>
      <c r="Z27" s="14">
        <f>Y27</f>
        <v>5.99</v>
      </c>
      <c r="AA27" s="14">
        <f>Z27</f>
        <v>5.99</v>
      </c>
      <c r="AB27" s="14">
        <f>AA27</f>
        <v>5.99</v>
      </c>
      <c r="AC27" s="14">
        <f>AB27</f>
        <v>5.99</v>
      </c>
      <c r="AD27" s="14">
        <f>AC27</f>
        <v>5.99</v>
      </c>
      <c r="AE27" s="14">
        <f>AD27</f>
        <v>5.99</v>
      </c>
    </row>
    <row r="28" spans="3:31" s="17" customFormat="1" ht="12.75">
      <c r="C28" s="18" t="s">
        <v>29</v>
      </c>
      <c r="D28" s="18" t="s">
        <v>10</v>
      </c>
      <c r="E28" s="79"/>
      <c r="F28" s="79">
        <v>0</v>
      </c>
      <c r="G28" s="79">
        <f>F28</f>
        <v>0</v>
      </c>
      <c r="H28" s="79">
        <f t="shared" si="37"/>
        <v>0</v>
      </c>
      <c r="I28" s="79">
        <f t="shared" si="37"/>
        <v>0</v>
      </c>
      <c r="J28" s="79">
        <f t="shared" si="37"/>
        <v>0</v>
      </c>
      <c r="K28" s="79">
        <f t="shared" si="37"/>
        <v>0</v>
      </c>
      <c r="L28" s="79">
        <f t="shared" si="37"/>
        <v>0</v>
      </c>
      <c r="M28" s="79">
        <f t="shared" si="37"/>
        <v>0</v>
      </c>
      <c r="N28" s="79">
        <f t="shared" si="37"/>
        <v>0</v>
      </c>
      <c r="O28" s="79">
        <f t="shared" si="37"/>
        <v>0</v>
      </c>
      <c r="P28" s="79">
        <f t="shared" si="37"/>
        <v>0</v>
      </c>
      <c r="Q28" s="79">
        <f>P28</f>
        <v>0</v>
      </c>
      <c r="R28" s="79">
        <f>Q28</f>
        <v>0</v>
      </c>
      <c r="S28" s="79">
        <f>R28</f>
        <v>0</v>
      </c>
      <c r="T28" s="79">
        <f>S28</f>
        <v>0</v>
      </c>
      <c r="U28" s="79">
        <f>T28</f>
        <v>0</v>
      </c>
      <c r="V28" s="79">
        <f>U28</f>
        <v>0</v>
      </c>
      <c r="W28" s="79">
        <f>V28</f>
        <v>0</v>
      </c>
      <c r="X28" s="79">
        <f>W28</f>
        <v>0</v>
      </c>
      <c r="Y28" s="79">
        <f>X28</f>
        <v>0</v>
      </c>
      <c r="Z28" s="79">
        <f>Y28</f>
        <v>0</v>
      </c>
      <c r="AA28" s="79">
        <f>Z28</f>
        <v>0</v>
      </c>
      <c r="AB28" s="79">
        <f>AA28</f>
        <v>0</v>
      </c>
      <c r="AC28" s="79">
        <f>AB28</f>
        <v>0</v>
      </c>
      <c r="AD28" s="79">
        <f>AC28</f>
        <v>0</v>
      </c>
      <c r="AE28" s="79">
        <f>AD28</f>
        <v>0</v>
      </c>
    </row>
    <row r="29" spans="3:31" ht="12.75">
      <c r="C29" s="5" t="s">
        <v>30</v>
      </c>
      <c r="D29" s="18" t="s">
        <v>235</v>
      </c>
      <c r="E29" s="32">
        <f>E27</f>
        <v>5.99</v>
      </c>
      <c r="F29" s="32">
        <f>E29*(1+F28)</f>
        <v>5.99</v>
      </c>
      <c r="G29" s="32">
        <f aca="true" t="shared" si="38" ref="G29:P29">F29*(1+G28)</f>
        <v>5.99</v>
      </c>
      <c r="H29" s="32">
        <f t="shared" si="38"/>
        <v>5.99</v>
      </c>
      <c r="I29" s="14">
        <f t="shared" si="38"/>
        <v>5.99</v>
      </c>
      <c r="J29" s="14">
        <f t="shared" si="38"/>
        <v>5.99</v>
      </c>
      <c r="K29" s="14">
        <f t="shared" si="38"/>
        <v>5.99</v>
      </c>
      <c r="L29" s="14">
        <f t="shared" si="38"/>
        <v>5.99</v>
      </c>
      <c r="M29" s="14">
        <f t="shared" si="38"/>
        <v>5.99</v>
      </c>
      <c r="N29" s="14">
        <f t="shared" si="38"/>
        <v>5.99</v>
      </c>
      <c r="O29" s="14">
        <f t="shared" si="38"/>
        <v>5.99</v>
      </c>
      <c r="P29" s="14">
        <f t="shared" si="38"/>
        <v>5.99</v>
      </c>
      <c r="Q29" s="14">
        <f>P29*(1+Q28)</f>
        <v>5.99</v>
      </c>
      <c r="R29" s="14">
        <f>Q29*(1+R28)</f>
        <v>5.99</v>
      </c>
      <c r="S29" s="14">
        <f>R29*(1+S28)</f>
        <v>5.99</v>
      </c>
      <c r="T29" s="14">
        <f>S29*(1+T28)</f>
        <v>5.99</v>
      </c>
      <c r="U29" s="14">
        <f>T29*(1+U28)</f>
        <v>5.99</v>
      </c>
      <c r="V29" s="14">
        <f>U29*(1+V28)</f>
        <v>5.99</v>
      </c>
      <c r="W29" s="14">
        <f>V29*(1+W28)</f>
        <v>5.99</v>
      </c>
      <c r="X29" s="14">
        <f>W29*(1+X28)</f>
        <v>5.99</v>
      </c>
      <c r="Y29" s="14">
        <f>X29*(1+Y28)</f>
        <v>5.99</v>
      </c>
      <c r="Z29" s="14">
        <f>Y29*(1+Z28)</f>
        <v>5.99</v>
      </c>
      <c r="AA29" s="14">
        <f>Z29*(1+AA28)</f>
        <v>5.99</v>
      </c>
      <c r="AB29" s="14">
        <f>AA29*(1+AB28)</f>
        <v>5.99</v>
      </c>
      <c r="AC29" s="14">
        <f>AB29*(1+AC28)</f>
        <v>5.99</v>
      </c>
      <c r="AD29" s="14">
        <f>AC29*(1+AD28)</f>
        <v>5.99</v>
      </c>
      <c r="AE29" s="14">
        <f>AD29*(1+AE28)</f>
        <v>5.99</v>
      </c>
    </row>
    <row r="30" spans="3:31" ht="12.75">
      <c r="C30" s="5"/>
      <c r="D30" s="5"/>
      <c r="E30" s="5"/>
      <c r="F30" s="5"/>
      <c r="G30" s="11"/>
      <c r="H30" s="1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3:31" s="1" customFormat="1" ht="12.75">
      <c r="C31" s="20" t="s">
        <v>236</v>
      </c>
      <c r="D31" s="20" t="s">
        <v>22</v>
      </c>
      <c r="E31" s="28">
        <f aca="true" t="shared" si="39" ref="E31:Q31">E29*E21/cr</f>
        <v>0</v>
      </c>
      <c r="F31" s="28">
        <f t="shared" si="39"/>
        <v>0</v>
      </c>
      <c r="G31" s="28">
        <f t="shared" si="39"/>
        <v>33.5741371875</v>
      </c>
      <c r="H31" s="28">
        <f t="shared" si="39"/>
        <v>35.812413</v>
      </c>
      <c r="I31" s="28">
        <f t="shared" si="39"/>
        <v>38.05068881250001</v>
      </c>
      <c r="J31" s="28">
        <f t="shared" si="39"/>
        <v>40.28896462500001</v>
      </c>
      <c r="K31" s="28">
        <f t="shared" si="39"/>
        <v>40.288964625</v>
      </c>
      <c r="L31" s="28">
        <f t="shared" si="39"/>
        <v>40.288964625</v>
      </c>
      <c r="M31" s="28">
        <f t="shared" si="39"/>
        <v>40.288964625</v>
      </c>
      <c r="N31" s="28">
        <f t="shared" si="39"/>
        <v>40.288964625</v>
      </c>
      <c r="O31" s="28">
        <f t="shared" si="39"/>
        <v>40.288964625</v>
      </c>
      <c r="P31" s="28">
        <f t="shared" si="39"/>
        <v>40.288964625</v>
      </c>
      <c r="Q31" s="28">
        <f t="shared" si="39"/>
        <v>40.288964625</v>
      </c>
      <c r="R31" s="28">
        <f aca="true" t="shared" si="40" ref="R31:X31">R29*R21/cr</f>
        <v>40.288964625</v>
      </c>
      <c r="S31" s="28">
        <f t="shared" si="40"/>
        <v>40.288964625</v>
      </c>
      <c r="T31" s="28">
        <f t="shared" si="40"/>
        <v>40.288964625</v>
      </c>
      <c r="U31" s="28">
        <f t="shared" si="40"/>
        <v>40.288964625</v>
      </c>
      <c r="V31" s="28">
        <f t="shared" si="40"/>
        <v>40.288964625</v>
      </c>
      <c r="W31" s="28">
        <f t="shared" si="40"/>
        <v>40.288964625</v>
      </c>
      <c r="X31" s="28">
        <f t="shared" si="40"/>
        <v>40.288964625</v>
      </c>
      <c r="Y31" s="28">
        <f aca="true" t="shared" si="41" ref="Y31:AE31">Y29*Y21/cr</f>
        <v>40.288964625</v>
      </c>
      <c r="Z31" s="28">
        <f t="shared" si="41"/>
        <v>40.288964625</v>
      </c>
      <c r="AA31" s="28">
        <f t="shared" si="41"/>
        <v>40.288964625</v>
      </c>
      <c r="AB31" s="28">
        <f t="shared" si="41"/>
        <v>40.288964625</v>
      </c>
      <c r="AC31" s="28">
        <f t="shared" si="41"/>
        <v>40.288964625</v>
      </c>
      <c r="AD31" s="28">
        <f t="shared" si="41"/>
        <v>40.288964625</v>
      </c>
      <c r="AE31" s="28">
        <f t="shared" si="41"/>
        <v>40.288964625</v>
      </c>
    </row>
    <row r="33" ht="12.75">
      <c r="C33" s="1" t="s">
        <v>32</v>
      </c>
    </row>
    <row r="35" spans="3:31" ht="12.75">
      <c r="C35" s="59" t="s">
        <v>1</v>
      </c>
      <c r="D35" s="59" t="s">
        <v>2</v>
      </c>
      <c r="E35" s="60">
        <f>E26</f>
        <v>44651</v>
      </c>
      <c r="F35" s="60">
        <f aca="true" t="shared" si="42" ref="F35:X35">F26</f>
        <v>45016</v>
      </c>
      <c r="G35" s="60">
        <f t="shared" si="42"/>
        <v>45382</v>
      </c>
      <c r="H35" s="60">
        <f t="shared" si="42"/>
        <v>45747</v>
      </c>
      <c r="I35" s="60">
        <f t="shared" si="42"/>
        <v>46112</v>
      </c>
      <c r="J35" s="60">
        <f t="shared" si="42"/>
        <v>46477</v>
      </c>
      <c r="K35" s="60">
        <f t="shared" si="42"/>
        <v>46843</v>
      </c>
      <c r="L35" s="60">
        <f t="shared" si="42"/>
        <v>47208</v>
      </c>
      <c r="M35" s="60">
        <f t="shared" si="42"/>
        <v>47573</v>
      </c>
      <c r="N35" s="60">
        <f t="shared" si="42"/>
        <v>47938</v>
      </c>
      <c r="O35" s="60">
        <f t="shared" si="42"/>
        <v>48304</v>
      </c>
      <c r="P35" s="60">
        <f t="shared" si="42"/>
        <v>48669</v>
      </c>
      <c r="Q35" s="60">
        <f t="shared" si="42"/>
        <v>49034</v>
      </c>
      <c r="R35" s="60">
        <f t="shared" si="42"/>
        <v>49399</v>
      </c>
      <c r="S35" s="60">
        <f t="shared" si="42"/>
        <v>49765</v>
      </c>
      <c r="T35" s="60">
        <f t="shared" si="42"/>
        <v>50130</v>
      </c>
      <c r="U35" s="60">
        <f t="shared" si="42"/>
        <v>50495</v>
      </c>
      <c r="V35" s="60">
        <f t="shared" si="42"/>
        <v>50860</v>
      </c>
      <c r="W35" s="60">
        <f t="shared" si="42"/>
        <v>51226</v>
      </c>
      <c r="X35" s="60">
        <f t="shared" si="42"/>
        <v>51591</v>
      </c>
      <c r="Y35" s="60">
        <f aca="true" t="shared" si="43" ref="Y35:AE35">Y26</f>
        <v>51956</v>
      </c>
      <c r="Z35" s="60">
        <f t="shared" si="43"/>
        <v>52321</v>
      </c>
      <c r="AA35" s="60">
        <f t="shared" si="43"/>
        <v>52687</v>
      </c>
      <c r="AB35" s="60">
        <f t="shared" si="43"/>
        <v>53052</v>
      </c>
      <c r="AC35" s="60">
        <f t="shared" si="43"/>
        <v>53417</v>
      </c>
      <c r="AD35" s="60">
        <f t="shared" si="43"/>
        <v>53782</v>
      </c>
      <c r="AE35" s="60">
        <f t="shared" si="43"/>
        <v>54148</v>
      </c>
    </row>
    <row r="36" spans="3:31" ht="12.75">
      <c r="C36" s="67" t="s">
        <v>237</v>
      </c>
      <c r="D36" s="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3:31" ht="12.75">
      <c r="C37" s="20" t="s">
        <v>239</v>
      </c>
      <c r="D37" s="5"/>
      <c r="E37" s="6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3:31" ht="12.75">
      <c r="C38" s="5" t="s">
        <v>331</v>
      </c>
      <c r="D38" s="5" t="s">
        <v>241</v>
      </c>
      <c r="E38" s="7">
        <v>3500</v>
      </c>
      <c r="F38" s="8">
        <f aca="true" t="shared" si="44" ref="F38:Q38">E38</f>
        <v>3500</v>
      </c>
      <c r="G38" s="8">
        <f t="shared" si="44"/>
        <v>3500</v>
      </c>
      <c r="H38" s="8">
        <f t="shared" si="44"/>
        <v>3500</v>
      </c>
      <c r="I38" s="8">
        <f t="shared" si="44"/>
        <v>3500</v>
      </c>
      <c r="J38" s="8">
        <f t="shared" si="44"/>
        <v>3500</v>
      </c>
      <c r="K38" s="8">
        <f t="shared" si="44"/>
        <v>3500</v>
      </c>
      <c r="L38" s="8">
        <f t="shared" si="44"/>
        <v>3500</v>
      </c>
      <c r="M38" s="8">
        <f t="shared" si="44"/>
        <v>3500</v>
      </c>
      <c r="N38" s="8">
        <f t="shared" si="44"/>
        <v>3500</v>
      </c>
      <c r="O38" s="8">
        <f t="shared" si="44"/>
        <v>3500</v>
      </c>
      <c r="P38" s="8">
        <f t="shared" si="44"/>
        <v>3500</v>
      </c>
      <c r="Q38" s="8">
        <f t="shared" si="44"/>
        <v>3500</v>
      </c>
      <c r="R38" s="8">
        <f>Q38</f>
        <v>3500</v>
      </c>
      <c r="S38" s="8">
        <f>R38</f>
        <v>3500</v>
      </c>
      <c r="T38" s="8">
        <f>S38</f>
        <v>3500</v>
      </c>
      <c r="U38" s="8">
        <f>T38</f>
        <v>3500</v>
      </c>
      <c r="V38" s="8">
        <f>U38</f>
        <v>3500</v>
      </c>
      <c r="W38" s="8">
        <f>V38</f>
        <v>3500</v>
      </c>
      <c r="X38" s="8">
        <f>W38</f>
        <v>3500</v>
      </c>
      <c r="Y38" s="8">
        <f>X38</f>
        <v>3500</v>
      </c>
      <c r="Z38" s="8">
        <f>Y38</f>
        <v>3500</v>
      </c>
      <c r="AA38" s="8">
        <f>Z38</f>
        <v>3500</v>
      </c>
      <c r="AB38" s="8">
        <f>AA38</f>
        <v>3500</v>
      </c>
      <c r="AC38" s="8">
        <f>AB38</f>
        <v>3500</v>
      </c>
      <c r="AD38" s="8">
        <f>AC38</f>
        <v>3500</v>
      </c>
      <c r="AE38" s="8">
        <f>AD38</f>
        <v>3500</v>
      </c>
    </row>
    <row r="39" spans="3:31" ht="12.75">
      <c r="C39" s="5" t="s">
        <v>240</v>
      </c>
      <c r="D39" s="5" t="s">
        <v>241</v>
      </c>
      <c r="E39" s="7">
        <v>3600</v>
      </c>
      <c r="F39" s="8">
        <f aca="true" t="shared" si="45" ref="F39:Q39">E39</f>
        <v>3600</v>
      </c>
      <c r="G39" s="8">
        <f t="shared" si="45"/>
        <v>3600</v>
      </c>
      <c r="H39" s="8">
        <f t="shared" si="45"/>
        <v>3600</v>
      </c>
      <c r="I39" s="8">
        <f t="shared" si="45"/>
        <v>3600</v>
      </c>
      <c r="J39" s="8">
        <f t="shared" si="45"/>
        <v>3600</v>
      </c>
      <c r="K39" s="8">
        <f t="shared" si="45"/>
        <v>3600</v>
      </c>
      <c r="L39" s="8">
        <f t="shared" si="45"/>
        <v>3600</v>
      </c>
      <c r="M39" s="8">
        <f t="shared" si="45"/>
        <v>3600</v>
      </c>
      <c r="N39" s="8">
        <f t="shared" si="45"/>
        <v>3600</v>
      </c>
      <c r="O39" s="8">
        <f t="shared" si="45"/>
        <v>3600</v>
      </c>
      <c r="P39" s="8">
        <f t="shared" si="45"/>
        <v>3600</v>
      </c>
      <c r="Q39" s="8">
        <f t="shared" si="45"/>
        <v>3600</v>
      </c>
      <c r="R39" s="8">
        <f>Q39</f>
        <v>3600</v>
      </c>
      <c r="S39" s="8">
        <f>R39</f>
        <v>3600</v>
      </c>
      <c r="T39" s="8">
        <f>S39</f>
        <v>3600</v>
      </c>
      <c r="U39" s="8">
        <f>T39</f>
        <v>3600</v>
      </c>
      <c r="V39" s="8">
        <f>U39</f>
        <v>3600</v>
      </c>
      <c r="W39" s="8">
        <f>V39</f>
        <v>3600</v>
      </c>
      <c r="X39" s="8">
        <f>W39</f>
        <v>3600</v>
      </c>
      <c r="Y39" s="8">
        <f>X39</f>
        <v>3600</v>
      </c>
      <c r="Z39" s="8">
        <f>Y39</f>
        <v>3600</v>
      </c>
      <c r="AA39" s="8">
        <f>Z39</f>
        <v>3600</v>
      </c>
      <c r="AB39" s="8">
        <f>AA39</f>
        <v>3600</v>
      </c>
      <c r="AC39" s="8">
        <f>AB39</f>
        <v>3600</v>
      </c>
      <c r="AD39" s="8">
        <f>AC39</f>
        <v>3600</v>
      </c>
      <c r="AE39" s="8">
        <f>AD39</f>
        <v>3600</v>
      </c>
    </row>
    <row r="40" spans="3:31" ht="12.75">
      <c r="C40" s="20" t="s">
        <v>242</v>
      </c>
      <c r="D40" s="5"/>
      <c r="E40" s="6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3:31" ht="12.75">
      <c r="C41" s="5" t="s">
        <v>368</v>
      </c>
      <c r="D41" s="5" t="s">
        <v>10</v>
      </c>
      <c r="E41" s="13">
        <v>1</v>
      </c>
      <c r="F41" s="13">
        <f>E41</f>
        <v>1</v>
      </c>
      <c r="G41" s="13">
        <f aca="true" t="shared" si="46" ref="G41:Q41">F41</f>
        <v>1</v>
      </c>
      <c r="H41" s="13">
        <f t="shared" si="46"/>
        <v>1</v>
      </c>
      <c r="I41" s="13">
        <f t="shared" si="46"/>
        <v>1</v>
      </c>
      <c r="J41" s="13">
        <f t="shared" si="46"/>
        <v>1</v>
      </c>
      <c r="K41" s="13">
        <f t="shared" si="46"/>
        <v>1</v>
      </c>
      <c r="L41" s="13">
        <f t="shared" si="46"/>
        <v>1</v>
      </c>
      <c r="M41" s="13">
        <f t="shared" si="46"/>
        <v>1</v>
      </c>
      <c r="N41" s="13">
        <f t="shared" si="46"/>
        <v>1</v>
      </c>
      <c r="O41" s="13">
        <f t="shared" si="46"/>
        <v>1</v>
      </c>
      <c r="P41" s="13">
        <f t="shared" si="46"/>
        <v>1</v>
      </c>
      <c r="Q41" s="13">
        <f t="shared" si="46"/>
        <v>1</v>
      </c>
      <c r="R41" s="13">
        <f>Q41</f>
        <v>1</v>
      </c>
      <c r="S41" s="13">
        <f>R41</f>
        <v>1</v>
      </c>
      <c r="T41" s="13">
        <f>S41</f>
        <v>1</v>
      </c>
      <c r="U41" s="13">
        <f>T41</f>
        <v>1</v>
      </c>
      <c r="V41" s="13">
        <f>U41</f>
        <v>1</v>
      </c>
      <c r="W41" s="13">
        <f>V41</f>
        <v>1</v>
      </c>
      <c r="X41" s="13">
        <f>W41</f>
        <v>1</v>
      </c>
      <c r="Y41" s="13">
        <f>X41</f>
        <v>1</v>
      </c>
      <c r="Z41" s="13">
        <f>Y41</f>
        <v>1</v>
      </c>
      <c r="AA41" s="13">
        <f>Z41</f>
        <v>1</v>
      </c>
      <c r="AB41" s="13">
        <f>AA41</f>
        <v>1</v>
      </c>
      <c r="AC41" s="13">
        <f>AB41</f>
        <v>1</v>
      </c>
      <c r="AD41" s="13">
        <f>AC41</f>
        <v>1</v>
      </c>
      <c r="AE41" s="13">
        <f>AD41</f>
        <v>1</v>
      </c>
    </row>
    <row r="42" spans="3:31" ht="12.75">
      <c r="C42" s="5" t="s">
        <v>369</v>
      </c>
      <c r="D42" s="5" t="s">
        <v>10</v>
      </c>
      <c r="E42" s="13">
        <f>100%-E41</f>
        <v>0</v>
      </c>
      <c r="F42" s="13">
        <f aca="true" t="shared" si="47" ref="F42:Q42">E42</f>
        <v>0</v>
      </c>
      <c r="G42" s="13">
        <f t="shared" si="47"/>
        <v>0</v>
      </c>
      <c r="H42" s="13">
        <f t="shared" si="47"/>
        <v>0</v>
      </c>
      <c r="I42" s="13">
        <f t="shared" si="47"/>
        <v>0</v>
      </c>
      <c r="J42" s="13">
        <f t="shared" si="47"/>
        <v>0</v>
      </c>
      <c r="K42" s="13">
        <f t="shared" si="47"/>
        <v>0</v>
      </c>
      <c r="L42" s="13">
        <f t="shared" si="47"/>
        <v>0</v>
      </c>
      <c r="M42" s="13">
        <f t="shared" si="47"/>
        <v>0</v>
      </c>
      <c r="N42" s="13">
        <f t="shared" si="47"/>
        <v>0</v>
      </c>
      <c r="O42" s="13">
        <f t="shared" si="47"/>
        <v>0</v>
      </c>
      <c r="P42" s="13">
        <f t="shared" si="47"/>
        <v>0</v>
      </c>
      <c r="Q42" s="13">
        <f t="shared" si="47"/>
        <v>0</v>
      </c>
      <c r="R42" s="13">
        <f>Q42</f>
        <v>0</v>
      </c>
      <c r="S42" s="13">
        <f>R42</f>
        <v>0</v>
      </c>
      <c r="T42" s="13">
        <f>S42</f>
        <v>0</v>
      </c>
      <c r="U42" s="13">
        <f>T42</f>
        <v>0</v>
      </c>
      <c r="V42" s="13">
        <f>U42</f>
        <v>0</v>
      </c>
      <c r="W42" s="13">
        <f>V42</f>
        <v>0</v>
      </c>
      <c r="X42" s="13">
        <f>W42</f>
        <v>0</v>
      </c>
      <c r="Y42" s="13">
        <f>X42</f>
        <v>0</v>
      </c>
      <c r="Z42" s="13">
        <f>Y42</f>
        <v>0</v>
      </c>
      <c r="AA42" s="13">
        <f>Z42</f>
        <v>0</v>
      </c>
      <c r="AB42" s="13">
        <f>AA42</f>
        <v>0</v>
      </c>
      <c r="AC42" s="13">
        <f>AB42</f>
        <v>0</v>
      </c>
      <c r="AD42" s="13">
        <f>AC42</f>
        <v>0</v>
      </c>
      <c r="AE42" s="13">
        <f>AD42</f>
        <v>0</v>
      </c>
    </row>
    <row r="43" spans="3:31" ht="12.75">
      <c r="C43" s="5" t="s">
        <v>243</v>
      </c>
      <c r="D43" s="5" t="s">
        <v>241</v>
      </c>
      <c r="E43" s="7">
        <f>E38*E41+E39*E42</f>
        <v>3500</v>
      </c>
      <c r="F43" s="8">
        <f aca="true" t="shared" si="48" ref="F43:Q43">E43</f>
        <v>3500</v>
      </c>
      <c r="G43" s="8">
        <f t="shared" si="48"/>
        <v>3500</v>
      </c>
      <c r="H43" s="8">
        <f t="shared" si="48"/>
        <v>3500</v>
      </c>
      <c r="I43" s="8">
        <f t="shared" si="48"/>
        <v>3500</v>
      </c>
      <c r="J43" s="8">
        <f t="shared" si="48"/>
        <v>3500</v>
      </c>
      <c r="K43" s="8">
        <f t="shared" si="48"/>
        <v>3500</v>
      </c>
      <c r="L43" s="8">
        <f t="shared" si="48"/>
        <v>3500</v>
      </c>
      <c r="M43" s="8">
        <f t="shared" si="48"/>
        <v>3500</v>
      </c>
      <c r="N43" s="8">
        <f t="shared" si="48"/>
        <v>3500</v>
      </c>
      <c r="O43" s="8">
        <f t="shared" si="48"/>
        <v>3500</v>
      </c>
      <c r="P43" s="8">
        <f t="shared" si="48"/>
        <v>3500</v>
      </c>
      <c r="Q43" s="8">
        <f t="shared" si="48"/>
        <v>3500</v>
      </c>
      <c r="R43" s="8">
        <f>Q43</f>
        <v>3500</v>
      </c>
      <c r="S43" s="8">
        <f>R43</f>
        <v>3500</v>
      </c>
      <c r="T43" s="8">
        <f>S43</f>
        <v>3500</v>
      </c>
      <c r="U43" s="8">
        <f>T43</f>
        <v>3500</v>
      </c>
      <c r="V43" s="8">
        <f>U43</f>
        <v>3500</v>
      </c>
      <c r="W43" s="8">
        <f>V43</f>
        <v>3500</v>
      </c>
      <c r="X43" s="8">
        <f>W43</f>
        <v>3500</v>
      </c>
      <c r="Y43" s="8">
        <f>X43</f>
        <v>3500</v>
      </c>
      <c r="Z43" s="8">
        <f>Y43</f>
        <v>3500</v>
      </c>
      <c r="AA43" s="8">
        <f>Z43</f>
        <v>3500</v>
      </c>
      <c r="AB43" s="8">
        <f>AA43</f>
        <v>3500</v>
      </c>
      <c r="AC43" s="8">
        <f>AB43</f>
        <v>3500</v>
      </c>
      <c r="AD43" s="8">
        <f>AC43</f>
        <v>3500</v>
      </c>
      <c r="AE43" s="8">
        <f>AD43</f>
        <v>3500</v>
      </c>
    </row>
    <row r="44" spans="3:31" ht="12.75">
      <c r="C44" s="5" t="s">
        <v>244</v>
      </c>
      <c r="D44" s="5" t="s">
        <v>245</v>
      </c>
      <c r="E44" s="7">
        <v>4200</v>
      </c>
      <c r="F44" s="8">
        <f>E44</f>
        <v>4200</v>
      </c>
      <c r="G44" s="8">
        <f>F44</f>
        <v>4200</v>
      </c>
      <c r="H44" s="8">
        <f>G44</f>
        <v>4200</v>
      </c>
      <c r="I44" s="8">
        <f>H44</f>
        <v>4200</v>
      </c>
      <c r="J44" s="8">
        <f>I44</f>
        <v>4200</v>
      </c>
      <c r="K44" s="8">
        <f>J44</f>
        <v>4200</v>
      </c>
      <c r="L44" s="8">
        <f>K44</f>
        <v>4200</v>
      </c>
      <c r="M44" s="8">
        <f>L44</f>
        <v>4200</v>
      </c>
      <c r="N44" s="8">
        <f>M44</f>
        <v>4200</v>
      </c>
      <c r="O44" s="8">
        <f>N44</f>
        <v>4200</v>
      </c>
      <c r="P44" s="8">
        <f>O44</f>
        <v>4200</v>
      </c>
      <c r="Q44" s="8">
        <f>P44</f>
        <v>4200</v>
      </c>
      <c r="R44" s="8">
        <f>Q44</f>
        <v>4200</v>
      </c>
      <c r="S44" s="8">
        <f>R44</f>
        <v>4200</v>
      </c>
      <c r="T44" s="8">
        <f>S44</f>
        <v>4200</v>
      </c>
      <c r="U44" s="8">
        <f>T44</f>
        <v>4200</v>
      </c>
      <c r="V44" s="8">
        <f>U44</f>
        <v>4200</v>
      </c>
      <c r="W44" s="8">
        <f>V44</f>
        <v>4200</v>
      </c>
      <c r="X44" s="8">
        <f>W44</f>
        <v>4200</v>
      </c>
      <c r="Y44" s="8">
        <f>X44</f>
        <v>4200</v>
      </c>
      <c r="Z44" s="8">
        <f>Y44</f>
        <v>4200</v>
      </c>
      <c r="AA44" s="8">
        <f>Z44</f>
        <v>4200</v>
      </c>
      <c r="AB44" s="8">
        <f>AA44</f>
        <v>4200</v>
      </c>
      <c r="AC44" s="8">
        <f>AB44</f>
        <v>4200</v>
      </c>
      <c r="AD44" s="8">
        <f>AC44</f>
        <v>4200</v>
      </c>
      <c r="AE44" s="8">
        <f>AD44</f>
        <v>4200</v>
      </c>
    </row>
    <row r="45" spans="3:31" ht="12.75">
      <c r="C45" s="5"/>
      <c r="D45" s="5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3:31" ht="12.75">
      <c r="C46" s="5" t="s">
        <v>246</v>
      </c>
      <c r="D46" s="5" t="s">
        <v>238</v>
      </c>
      <c r="E46" s="62">
        <f>E44/E43</f>
        <v>1.2</v>
      </c>
      <c r="F46" s="62">
        <f aca="true" t="shared" si="49" ref="F46:Q46">F44/F43</f>
        <v>1.2</v>
      </c>
      <c r="G46" s="62">
        <f t="shared" si="49"/>
        <v>1.2</v>
      </c>
      <c r="H46" s="62">
        <f t="shared" si="49"/>
        <v>1.2</v>
      </c>
      <c r="I46" s="62">
        <f t="shared" si="49"/>
        <v>1.2</v>
      </c>
      <c r="J46" s="62">
        <f t="shared" si="49"/>
        <v>1.2</v>
      </c>
      <c r="K46" s="62">
        <f t="shared" si="49"/>
        <v>1.2</v>
      </c>
      <c r="L46" s="62">
        <f t="shared" si="49"/>
        <v>1.2</v>
      </c>
      <c r="M46" s="62">
        <f t="shared" si="49"/>
        <v>1.2</v>
      </c>
      <c r="N46" s="62">
        <f t="shared" si="49"/>
        <v>1.2</v>
      </c>
      <c r="O46" s="62">
        <f t="shared" si="49"/>
        <v>1.2</v>
      </c>
      <c r="P46" s="62">
        <f t="shared" si="49"/>
        <v>1.2</v>
      </c>
      <c r="Q46" s="62">
        <f t="shared" si="49"/>
        <v>1.2</v>
      </c>
      <c r="R46" s="62">
        <f aca="true" t="shared" si="50" ref="R46:X46">R44/R43</f>
        <v>1.2</v>
      </c>
      <c r="S46" s="62">
        <f t="shared" si="50"/>
        <v>1.2</v>
      </c>
      <c r="T46" s="62">
        <f t="shared" si="50"/>
        <v>1.2</v>
      </c>
      <c r="U46" s="62">
        <f t="shared" si="50"/>
        <v>1.2</v>
      </c>
      <c r="V46" s="62">
        <f t="shared" si="50"/>
        <v>1.2</v>
      </c>
      <c r="W46" s="62">
        <f t="shared" si="50"/>
        <v>1.2</v>
      </c>
      <c r="X46" s="62">
        <f t="shared" si="50"/>
        <v>1.2</v>
      </c>
      <c r="Y46" s="62">
        <f aca="true" t="shared" si="51" ref="Y46:AE46">Y44/Y43</f>
        <v>1.2</v>
      </c>
      <c r="Z46" s="62">
        <f t="shared" si="51"/>
        <v>1.2</v>
      </c>
      <c r="AA46" s="62">
        <f t="shared" si="51"/>
        <v>1.2</v>
      </c>
      <c r="AB46" s="62">
        <f t="shared" si="51"/>
        <v>1.2</v>
      </c>
      <c r="AC46" s="62">
        <f t="shared" si="51"/>
        <v>1.2</v>
      </c>
      <c r="AD46" s="62">
        <f t="shared" si="51"/>
        <v>1.2</v>
      </c>
      <c r="AE46" s="62">
        <f t="shared" si="51"/>
        <v>1.2</v>
      </c>
    </row>
    <row r="47" spans="3:31" ht="12.75">
      <c r="C47" s="5" t="s">
        <v>247</v>
      </c>
      <c r="D47" s="5" t="s">
        <v>248</v>
      </c>
      <c r="E47" s="65">
        <f aca="true" t="shared" si="52" ref="E47:Q47">E46*E15/1000</f>
        <v>0</v>
      </c>
      <c r="F47" s="65">
        <f t="shared" si="52"/>
        <v>0</v>
      </c>
      <c r="G47" s="65">
        <f t="shared" si="52"/>
        <v>78840</v>
      </c>
      <c r="H47" s="65">
        <f t="shared" si="52"/>
        <v>84096</v>
      </c>
      <c r="I47" s="65">
        <f t="shared" si="52"/>
        <v>89352.00000000001</v>
      </c>
      <c r="J47" s="65">
        <f t="shared" si="52"/>
        <v>94608.00000000001</v>
      </c>
      <c r="K47" s="65">
        <f t="shared" si="52"/>
        <v>94608</v>
      </c>
      <c r="L47" s="65">
        <f t="shared" si="52"/>
        <v>94608</v>
      </c>
      <c r="M47" s="65">
        <f t="shared" si="52"/>
        <v>94608</v>
      </c>
      <c r="N47" s="65">
        <f t="shared" si="52"/>
        <v>94608</v>
      </c>
      <c r="O47" s="65">
        <f t="shared" si="52"/>
        <v>94608</v>
      </c>
      <c r="P47" s="65">
        <f t="shared" si="52"/>
        <v>94608</v>
      </c>
      <c r="Q47" s="65">
        <f t="shared" si="52"/>
        <v>94608</v>
      </c>
      <c r="R47" s="65">
        <f aca="true" t="shared" si="53" ref="R47:X47">R46*R15/1000</f>
        <v>94608</v>
      </c>
      <c r="S47" s="65">
        <f t="shared" si="53"/>
        <v>94608</v>
      </c>
      <c r="T47" s="65">
        <f t="shared" si="53"/>
        <v>94608</v>
      </c>
      <c r="U47" s="65">
        <f t="shared" si="53"/>
        <v>94608</v>
      </c>
      <c r="V47" s="65">
        <f t="shared" si="53"/>
        <v>94608</v>
      </c>
      <c r="W47" s="65">
        <f t="shared" si="53"/>
        <v>94608</v>
      </c>
      <c r="X47" s="65">
        <f t="shared" si="53"/>
        <v>94608</v>
      </c>
      <c r="Y47" s="65">
        <f aca="true" t="shared" si="54" ref="Y47:AE47">Y46*Y15/1000</f>
        <v>94608</v>
      </c>
      <c r="Z47" s="65">
        <f t="shared" si="54"/>
        <v>94608</v>
      </c>
      <c r="AA47" s="65">
        <f t="shared" si="54"/>
        <v>94608</v>
      </c>
      <c r="AB47" s="65">
        <f t="shared" si="54"/>
        <v>94608</v>
      </c>
      <c r="AC47" s="65">
        <f t="shared" si="54"/>
        <v>94608</v>
      </c>
      <c r="AD47" s="65">
        <f t="shared" si="54"/>
        <v>94608</v>
      </c>
      <c r="AE47" s="65">
        <f t="shared" si="54"/>
        <v>94608</v>
      </c>
    </row>
    <row r="48" spans="3:31" ht="12.75">
      <c r="C48" s="20" t="s">
        <v>249</v>
      </c>
      <c r="D48" s="5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3:31" ht="12.75">
      <c r="C49" s="11" t="s">
        <v>367</v>
      </c>
      <c r="D49" s="11" t="s">
        <v>254</v>
      </c>
      <c r="E49" s="65">
        <v>1800</v>
      </c>
      <c r="F49" s="65">
        <f>E49</f>
        <v>1800</v>
      </c>
      <c r="G49" s="65">
        <f aca="true" t="shared" si="55" ref="G49:Q49">F49</f>
        <v>1800</v>
      </c>
      <c r="H49" s="65">
        <f t="shared" si="55"/>
        <v>1800</v>
      </c>
      <c r="I49" s="65">
        <f t="shared" si="55"/>
        <v>1800</v>
      </c>
      <c r="J49" s="65">
        <f t="shared" si="55"/>
        <v>1800</v>
      </c>
      <c r="K49" s="65">
        <f t="shared" si="55"/>
        <v>1800</v>
      </c>
      <c r="L49" s="65">
        <f t="shared" si="55"/>
        <v>1800</v>
      </c>
      <c r="M49" s="65">
        <f t="shared" si="55"/>
        <v>1800</v>
      </c>
      <c r="N49" s="65">
        <f t="shared" si="55"/>
        <v>1800</v>
      </c>
      <c r="O49" s="65">
        <f t="shared" si="55"/>
        <v>1800</v>
      </c>
      <c r="P49" s="65">
        <f t="shared" si="55"/>
        <v>1800</v>
      </c>
      <c r="Q49" s="65">
        <f t="shared" si="55"/>
        <v>1800</v>
      </c>
      <c r="R49" s="65">
        <f>Q49</f>
        <v>1800</v>
      </c>
      <c r="S49" s="65">
        <f>R49</f>
        <v>1800</v>
      </c>
      <c r="T49" s="65">
        <f>S49</f>
        <v>1800</v>
      </c>
      <c r="U49" s="65">
        <f>T49</f>
        <v>1800</v>
      </c>
      <c r="V49" s="65">
        <f>U49</f>
        <v>1800</v>
      </c>
      <c r="W49" s="65">
        <f>V49</f>
        <v>1800</v>
      </c>
      <c r="X49" s="65">
        <f>W49</f>
        <v>1800</v>
      </c>
      <c r="Y49" s="65">
        <f>X49</f>
        <v>1800</v>
      </c>
      <c r="Z49" s="65">
        <f>Y49</f>
        <v>1800</v>
      </c>
      <c r="AA49" s="65">
        <f>Z49</f>
        <v>1800</v>
      </c>
      <c r="AB49" s="65">
        <f>AA49</f>
        <v>1800</v>
      </c>
      <c r="AC49" s="65">
        <f>AB49</f>
        <v>1800</v>
      </c>
      <c r="AD49" s="65">
        <f>AC49</f>
        <v>1800</v>
      </c>
      <c r="AE49" s="65">
        <f>AD49</f>
        <v>1800</v>
      </c>
    </row>
    <row r="50" spans="3:31" ht="12.75">
      <c r="C50" s="11" t="s">
        <v>250</v>
      </c>
      <c r="D50" s="11" t="s">
        <v>254</v>
      </c>
      <c r="E50" s="65">
        <v>4200</v>
      </c>
      <c r="F50" s="65">
        <f aca="true" t="shared" si="56" ref="F50:Q50">E50</f>
        <v>4200</v>
      </c>
      <c r="G50" s="65">
        <f t="shared" si="56"/>
        <v>4200</v>
      </c>
      <c r="H50" s="65">
        <f t="shared" si="56"/>
        <v>4200</v>
      </c>
      <c r="I50" s="65">
        <f t="shared" si="56"/>
        <v>4200</v>
      </c>
      <c r="J50" s="65">
        <f t="shared" si="56"/>
        <v>4200</v>
      </c>
      <c r="K50" s="65">
        <f t="shared" si="56"/>
        <v>4200</v>
      </c>
      <c r="L50" s="65">
        <f t="shared" si="56"/>
        <v>4200</v>
      </c>
      <c r="M50" s="65">
        <f t="shared" si="56"/>
        <v>4200</v>
      </c>
      <c r="N50" s="65">
        <f t="shared" si="56"/>
        <v>4200</v>
      </c>
      <c r="O50" s="65">
        <f t="shared" si="56"/>
        <v>4200</v>
      </c>
      <c r="P50" s="65">
        <f t="shared" si="56"/>
        <v>4200</v>
      </c>
      <c r="Q50" s="65">
        <f t="shared" si="56"/>
        <v>4200</v>
      </c>
      <c r="R50" s="65">
        <f>Q50</f>
        <v>4200</v>
      </c>
      <c r="S50" s="65">
        <f>R50</f>
        <v>4200</v>
      </c>
      <c r="T50" s="65">
        <f>S50</f>
        <v>4200</v>
      </c>
      <c r="U50" s="65">
        <f>T50</f>
        <v>4200</v>
      </c>
      <c r="V50" s="65">
        <f>U50</f>
        <v>4200</v>
      </c>
      <c r="W50" s="65">
        <f>V50</f>
        <v>4200</v>
      </c>
      <c r="X50" s="65">
        <f>W50</f>
        <v>4200</v>
      </c>
      <c r="Y50" s="65">
        <f>X50</f>
        <v>4200</v>
      </c>
      <c r="Z50" s="65">
        <f>Y50</f>
        <v>4200</v>
      </c>
      <c r="AA50" s="65">
        <f>Z50</f>
        <v>4200</v>
      </c>
      <c r="AB50" s="65">
        <f>AA50</f>
        <v>4200</v>
      </c>
      <c r="AC50" s="65">
        <f>AB50</f>
        <v>4200</v>
      </c>
      <c r="AD50" s="65">
        <f>AC50</f>
        <v>4200</v>
      </c>
      <c r="AE50" s="65">
        <f>AD50</f>
        <v>4200</v>
      </c>
    </row>
    <row r="51" spans="3:31" ht="12.75">
      <c r="C51" s="11" t="s">
        <v>251</v>
      </c>
      <c r="D51" s="11" t="s">
        <v>254</v>
      </c>
      <c r="E51" s="65">
        <f>(E49*E41+E50*E42)</f>
        <v>1800</v>
      </c>
      <c r="F51" s="65">
        <f>E51*(1+F52)</f>
        <v>1800</v>
      </c>
      <c r="G51" s="65">
        <f aca="true" t="shared" si="57" ref="G51:Q51">F51*(1+G52)</f>
        <v>1800</v>
      </c>
      <c r="H51" s="65">
        <f t="shared" si="57"/>
        <v>1800</v>
      </c>
      <c r="I51" s="65">
        <f t="shared" si="57"/>
        <v>1800</v>
      </c>
      <c r="J51" s="65">
        <f t="shared" si="57"/>
        <v>1800</v>
      </c>
      <c r="K51" s="65">
        <f t="shared" si="57"/>
        <v>1800</v>
      </c>
      <c r="L51" s="65">
        <f t="shared" si="57"/>
        <v>1800</v>
      </c>
      <c r="M51" s="65">
        <f t="shared" si="57"/>
        <v>1800</v>
      </c>
      <c r="N51" s="65">
        <f t="shared" si="57"/>
        <v>1800</v>
      </c>
      <c r="O51" s="65">
        <f t="shared" si="57"/>
        <v>1800</v>
      </c>
      <c r="P51" s="65">
        <f t="shared" si="57"/>
        <v>1800</v>
      </c>
      <c r="Q51" s="65">
        <f t="shared" si="57"/>
        <v>1800</v>
      </c>
      <c r="R51" s="65">
        <f>Q51*(1+R52)</f>
        <v>1800</v>
      </c>
      <c r="S51" s="65">
        <f>R51*(1+S52)</f>
        <v>1800</v>
      </c>
      <c r="T51" s="65">
        <f>S51*(1+T52)</f>
        <v>1800</v>
      </c>
      <c r="U51" s="65">
        <f>T51*(1+U52)</f>
        <v>1800</v>
      </c>
      <c r="V51" s="65">
        <f>U51*(1+V52)</f>
        <v>1800</v>
      </c>
      <c r="W51" s="65">
        <f>V51*(1+W52)</f>
        <v>1800</v>
      </c>
      <c r="X51" s="65">
        <f>W51*(1+X52)</f>
        <v>1800</v>
      </c>
      <c r="Y51" s="65">
        <f>X51*(1+Y52)</f>
        <v>1800</v>
      </c>
      <c r="Z51" s="65">
        <f>Y51*(1+Z52)</f>
        <v>1800</v>
      </c>
      <c r="AA51" s="65">
        <f>Z51*(1+AA52)</f>
        <v>1800</v>
      </c>
      <c r="AB51" s="65">
        <f>AA51*(1+AB52)</f>
        <v>1800</v>
      </c>
      <c r="AC51" s="65">
        <f>AB51*(1+AC52)</f>
        <v>1800</v>
      </c>
      <c r="AD51" s="65">
        <f>AC51*(1+AD52)</f>
        <v>1800</v>
      </c>
      <c r="AE51" s="65">
        <f>AD51*(1+AE52)</f>
        <v>1800</v>
      </c>
    </row>
    <row r="52" spans="3:31" ht="12.75">
      <c r="C52" s="11" t="s">
        <v>252</v>
      </c>
      <c r="D52" s="11" t="s">
        <v>10</v>
      </c>
      <c r="E52" s="66">
        <v>0</v>
      </c>
      <c r="F52" s="66">
        <f>E52</f>
        <v>0</v>
      </c>
      <c r="G52" s="66">
        <f aca="true" t="shared" si="58" ref="G52:Q52">F52</f>
        <v>0</v>
      </c>
      <c r="H52" s="66">
        <v>0</v>
      </c>
      <c r="I52" s="66">
        <f t="shared" si="58"/>
        <v>0</v>
      </c>
      <c r="J52" s="66">
        <f t="shared" si="58"/>
        <v>0</v>
      </c>
      <c r="K52" s="66">
        <f t="shared" si="58"/>
        <v>0</v>
      </c>
      <c r="L52" s="66">
        <f t="shared" si="58"/>
        <v>0</v>
      </c>
      <c r="M52" s="66">
        <f t="shared" si="58"/>
        <v>0</v>
      </c>
      <c r="N52" s="66">
        <f t="shared" si="58"/>
        <v>0</v>
      </c>
      <c r="O52" s="66">
        <f t="shared" si="58"/>
        <v>0</v>
      </c>
      <c r="P52" s="66">
        <f t="shared" si="58"/>
        <v>0</v>
      </c>
      <c r="Q52" s="66">
        <f t="shared" si="58"/>
        <v>0</v>
      </c>
      <c r="R52" s="66">
        <f>Q52</f>
        <v>0</v>
      </c>
      <c r="S52" s="66">
        <f>R52</f>
        <v>0</v>
      </c>
      <c r="T52" s="66">
        <f>S52</f>
        <v>0</v>
      </c>
      <c r="U52" s="66">
        <f>T52</f>
        <v>0</v>
      </c>
      <c r="V52" s="66">
        <f>U52</f>
        <v>0</v>
      </c>
      <c r="W52" s="66">
        <f>V52</f>
        <v>0</v>
      </c>
      <c r="X52" s="66">
        <f>W52</f>
        <v>0</v>
      </c>
      <c r="Y52" s="66">
        <f>X52</f>
        <v>0</v>
      </c>
      <c r="Z52" s="66">
        <f>Y52</f>
        <v>0</v>
      </c>
      <c r="AA52" s="66">
        <f>Z52</f>
        <v>0</v>
      </c>
      <c r="AB52" s="66">
        <f>AA52</f>
        <v>0</v>
      </c>
      <c r="AC52" s="66">
        <f>AB52</f>
        <v>0</v>
      </c>
      <c r="AD52" s="66">
        <f>AC52</f>
        <v>0</v>
      </c>
      <c r="AE52" s="66">
        <f>AD52</f>
        <v>0</v>
      </c>
    </row>
    <row r="53" spans="3:31" s="1" customFormat="1" ht="12.75">
      <c r="C53" s="20" t="s">
        <v>239</v>
      </c>
      <c r="D53" s="20" t="s">
        <v>22</v>
      </c>
      <c r="E53" s="28">
        <f aca="true" t="shared" si="59" ref="E53:Q53">E51*E47/cr</f>
        <v>0</v>
      </c>
      <c r="F53" s="28">
        <f t="shared" si="59"/>
        <v>0</v>
      </c>
      <c r="G53" s="28">
        <f t="shared" si="59"/>
        <v>14.1912</v>
      </c>
      <c r="H53" s="28">
        <f t="shared" si="59"/>
        <v>15.13728</v>
      </c>
      <c r="I53" s="28">
        <f t="shared" si="59"/>
        <v>16.083360000000003</v>
      </c>
      <c r="J53" s="28">
        <f t="shared" si="59"/>
        <v>17.029440000000005</v>
      </c>
      <c r="K53" s="28">
        <f t="shared" si="59"/>
        <v>17.02944</v>
      </c>
      <c r="L53" s="28">
        <f t="shared" si="59"/>
        <v>17.02944</v>
      </c>
      <c r="M53" s="28">
        <f t="shared" si="59"/>
        <v>17.02944</v>
      </c>
      <c r="N53" s="28">
        <f t="shared" si="59"/>
        <v>17.02944</v>
      </c>
      <c r="O53" s="28">
        <f t="shared" si="59"/>
        <v>17.02944</v>
      </c>
      <c r="P53" s="28">
        <f t="shared" si="59"/>
        <v>17.02944</v>
      </c>
      <c r="Q53" s="28">
        <f t="shared" si="59"/>
        <v>17.02944</v>
      </c>
      <c r="R53" s="28">
        <f aca="true" t="shared" si="60" ref="R53:X53">R51*R47/cr</f>
        <v>17.02944</v>
      </c>
      <c r="S53" s="28">
        <f t="shared" si="60"/>
        <v>17.02944</v>
      </c>
      <c r="T53" s="28">
        <f t="shared" si="60"/>
        <v>17.02944</v>
      </c>
      <c r="U53" s="28">
        <f t="shared" si="60"/>
        <v>17.02944</v>
      </c>
      <c r="V53" s="28">
        <f t="shared" si="60"/>
        <v>17.02944</v>
      </c>
      <c r="W53" s="28">
        <f t="shared" si="60"/>
        <v>17.02944</v>
      </c>
      <c r="X53" s="28">
        <f t="shared" si="60"/>
        <v>17.02944</v>
      </c>
      <c r="Y53" s="28">
        <f aca="true" t="shared" si="61" ref="Y53:AE53">Y51*Y47/cr</f>
        <v>17.02944</v>
      </c>
      <c r="Z53" s="28">
        <f t="shared" si="61"/>
        <v>17.02944</v>
      </c>
      <c r="AA53" s="28">
        <f t="shared" si="61"/>
        <v>17.02944</v>
      </c>
      <c r="AB53" s="28">
        <f t="shared" si="61"/>
        <v>17.02944</v>
      </c>
      <c r="AC53" s="28">
        <f t="shared" si="61"/>
        <v>17.02944</v>
      </c>
      <c r="AD53" s="28">
        <f t="shared" si="61"/>
        <v>17.02944</v>
      </c>
      <c r="AE53" s="28">
        <f t="shared" si="61"/>
        <v>17.02944</v>
      </c>
    </row>
    <row r="54" spans="3:31" ht="12.75">
      <c r="C54" s="20" t="s">
        <v>253</v>
      </c>
      <c r="D54" s="20" t="s">
        <v>264</v>
      </c>
      <c r="E54" s="28">
        <f aca="true" t="shared" si="62" ref="E54:Q54">IF(E15&lt;=0,0,E53*cr/E15)</f>
        <v>0</v>
      </c>
      <c r="F54" s="28">
        <f t="shared" si="62"/>
        <v>0</v>
      </c>
      <c r="G54" s="28">
        <f t="shared" si="62"/>
        <v>2.16</v>
      </c>
      <c r="H54" s="28">
        <f t="shared" si="62"/>
        <v>2.16</v>
      </c>
      <c r="I54" s="28">
        <f t="shared" si="62"/>
        <v>2.16</v>
      </c>
      <c r="J54" s="28">
        <f t="shared" si="62"/>
        <v>2.16</v>
      </c>
      <c r="K54" s="28">
        <f t="shared" si="62"/>
        <v>2.16</v>
      </c>
      <c r="L54" s="28">
        <f t="shared" si="62"/>
        <v>2.16</v>
      </c>
      <c r="M54" s="28">
        <f t="shared" si="62"/>
        <v>2.16</v>
      </c>
      <c r="N54" s="28">
        <f t="shared" si="62"/>
        <v>2.16</v>
      </c>
      <c r="O54" s="28">
        <f t="shared" si="62"/>
        <v>2.16</v>
      </c>
      <c r="P54" s="28">
        <f t="shared" si="62"/>
        <v>2.16</v>
      </c>
      <c r="Q54" s="28">
        <f t="shared" si="62"/>
        <v>2.16</v>
      </c>
      <c r="R54" s="28">
        <f aca="true" t="shared" si="63" ref="R54:X54">IF(R15&lt;=0,0,R53*cr/R15)</f>
        <v>2.16</v>
      </c>
      <c r="S54" s="28">
        <f t="shared" si="63"/>
        <v>2.16</v>
      </c>
      <c r="T54" s="28">
        <f t="shared" si="63"/>
        <v>2.16</v>
      </c>
      <c r="U54" s="28">
        <f t="shared" si="63"/>
        <v>2.16</v>
      </c>
      <c r="V54" s="28">
        <f t="shared" si="63"/>
        <v>2.16</v>
      </c>
      <c r="W54" s="28">
        <f t="shared" si="63"/>
        <v>2.16</v>
      </c>
      <c r="X54" s="28">
        <f t="shared" si="63"/>
        <v>2.16</v>
      </c>
      <c r="Y54" s="28">
        <f aca="true" t="shared" si="64" ref="Y54:AE54">IF(Y15&lt;=0,0,Y53*cr/Y15)</f>
        <v>2.16</v>
      </c>
      <c r="Z54" s="28">
        <f t="shared" si="64"/>
        <v>2.16</v>
      </c>
      <c r="AA54" s="28">
        <f t="shared" si="64"/>
        <v>2.16</v>
      </c>
      <c r="AB54" s="28">
        <f t="shared" si="64"/>
        <v>2.16</v>
      </c>
      <c r="AC54" s="28">
        <f t="shared" si="64"/>
        <v>2.16</v>
      </c>
      <c r="AD54" s="28">
        <f t="shared" si="64"/>
        <v>2.16</v>
      </c>
      <c r="AE54" s="28">
        <f t="shared" si="64"/>
        <v>2.16</v>
      </c>
    </row>
    <row r="55" spans="3:31" ht="12.75" hidden="1">
      <c r="C55" s="5"/>
      <c r="D55" s="5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3:31" ht="12.75" hidden="1">
      <c r="C56" s="20" t="s">
        <v>255</v>
      </c>
      <c r="D56" s="5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3:31" ht="12.75" hidden="1">
      <c r="C57" s="5" t="s">
        <v>256</v>
      </c>
      <c r="D57" s="5" t="s">
        <v>241</v>
      </c>
      <c r="E57" s="65">
        <v>0</v>
      </c>
      <c r="F57" s="65">
        <f>E57</f>
        <v>0</v>
      </c>
      <c r="G57" s="65">
        <f aca="true" t="shared" si="65" ref="G57:Q57">F57</f>
        <v>0</v>
      </c>
      <c r="H57" s="65">
        <f t="shared" si="65"/>
        <v>0</v>
      </c>
      <c r="I57" s="65">
        <f t="shared" si="65"/>
        <v>0</v>
      </c>
      <c r="J57" s="65">
        <f t="shared" si="65"/>
        <v>0</v>
      </c>
      <c r="K57" s="65">
        <f t="shared" si="65"/>
        <v>0</v>
      </c>
      <c r="L57" s="65">
        <f t="shared" si="65"/>
        <v>0</v>
      </c>
      <c r="M57" s="65">
        <f t="shared" si="65"/>
        <v>0</v>
      </c>
      <c r="N57" s="65">
        <f t="shared" si="65"/>
        <v>0</v>
      </c>
      <c r="O57" s="65">
        <f t="shared" si="65"/>
        <v>0</v>
      </c>
      <c r="P57" s="65">
        <f t="shared" si="65"/>
        <v>0</v>
      </c>
      <c r="Q57" s="65">
        <f t="shared" si="65"/>
        <v>0</v>
      </c>
      <c r="R57" s="65">
        <f>Q57</f>
        <v>0</v>
      </c>
      <c r="S57" s="65">
        <f>R57</f>
        <v>0</v>
      </c>
      <c r="T57" s="65">
        <f>S57</f>
        <v>0</v>
      </c>
      <c r="U57" s="65">
        <f>T57</f>
        <v>0</v>
      </c>
      <c r="V57" s="65">
        <f>U57</f>
        <v>0</v>
      </c>
      <c r="W57" s="65">
        <f>V57</f>
        <v>0</v>
      </c>
      <c r="X57" s="65">
        <f>W57</f>
        <v>0</v>
      </c>
      <c r="Y57" s="65">
        <f>X57</f>
        <v>0</v>
      </c>
      <c r="Z57" s="65">
        <f>Y57</f>
        <v>0</v>
      </c>
      <c r="AA57" s="65">
        <f>Z57</f>
        <v>0</v>
      </c>
      <c r="AB57" s="65">
        <f>AA57</f>
        <v>0</v>
      </c>
      <c r="AC57" s="65">
        <f>AB57</f>
        <v>0</v>
      </c>
      <c r="AD57" s="65">
        <f>AC57</f>
        <v>0</v>
      </c>
      <c r="AE57" s="65">
        <f>AD57</f>
        <v>0</v>
      </c>
    </row>
    <row r="58" spans="3:31" ht="12.75" hidden="1">
      <c r="C58" s="5" t="s">
        <v>244</v>
      </c>
      <c r="D58" s="5" t="s">
        <v>245</v>
      </c>
      <c r="E58" s="65">
        <v>0</v>
      </c>
      <c r="F58" s="65">
        <f aca="true" t="shared" si="66" ref="F58:Q58">E58</f>
        <v>0</v>
      </c>
      <c r="G58" s="65">
        <f t="shared" si="66"/>
        <v>0</v>
      </c>
      <c r="H58" s="65">
        <f t="shared" si="66"/>
        <v>0</v>
      </c>
      <c r="I58" s="65">
        <f t="shared" si="66"/>
        <v>0</v>
      </c>
      <c r="J58" s="65">
        <f t="shared" si="66"/>
        <v>0</v>
      </c>
      <c r="K58" s="65">
        <f t="shared" si="66"/>
        <v>0</v>
      </c>
      <c r="L58" s="65">
        <f t="shared" si="66"/>
        <v>0</v>
      </c>
      <c r="M58" s="65">
        <f t="shared" si="66"/>
        <v>0</v>
      </c>
      <c r="N58" s="65">
        <f t="shared" si="66"/>
        <v>0</v>
      </c>
      <c r="O58" s="65">
        <f t="shared" si="66"/>
        <v>0</v>
      </c>
      <c r="P58" s="65">
        <f t="shared" si="66"/>
        <v>0</v>
      </c>
      <c r="Q58" s="65">
        <f t="shared" si="66"/>
        <v>0</v>
      </c>
      <c r="R58" s="65">
        <f>Q58</f>
        <v>0</v>
      </c>
      <c r="S58" s="65">
        <f>R58</f>
        <v>0</v>
      </c>
      <c r="T58" s="65">
        <f>S58</f>
        <v>0</v>
      </c>
      <c r="U58" s="65">
        <f>T58</f>
        <v>0</v>
      </c>
      <c r="V58" s="65">
        <f>U58</f>
        <v>0</v>
      </c>
      <c r="W58" s="65">
        <f>V58</f>
        <v>0</v>
      </c>
      <c r="X58" s="65">
        <f>W58</f>
        <v>0</v>
      </c>
      <c r="Y58" s="65">
        <f>X58</f>
        <v>0</v>
      </c>
      <c r="Z58" s="65">
        <f>Y58</f>
        <v>0</v>
      </c>
      <c r="AA58" s="65">
        <f>Z58</f>
        <v>0</v>
      </c>
      <c r="AB58" s="65">
        <f>AA58</f>
        <v>0</v>
      </c>
      <c r="AC58" s="65">
        <f>AB58</f>
        <v>0</v>
      </c>
      <c r="AD58" s="65">
        <f>AC58</f>
        <v>0</v>
      </c>
      <c r="AE58" s="65">
        <f>AD58</f>
        <v>0</v>
      </c>
    </row>
    <row r="59" spans="3:31" ht="12.75" hidden="1">
      <c r="C59" s="5" t="s">
        <v>247</v>
      </c>
      <c r="D59" s="5" t="s">
        <v>257</v>
      </c>
      <c r="E59" s="65">
        <v>0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3:31" ht="12.75" hidden="1">
      <c r="C60" s="5" t="s">
        <v>258</v>
      </c>
      <c r="D60" s="5" t="s">
        <v>259</v>
      </c>
      <c r="E60" s="62">
        <f>IF(E15&lt;=0,0,50*1000/0.9/E15)</f>
        <v>0</v>
      </c>
      <c r="F60" s="62">
        <f aca="true" t="shared" si="67" ref="F60:Q60">IF(F15&lt;=0,0,50*1000/0.9/F15)</f>
        <v>0</v>
      </c>
      <c r="G60" s="62">
        <f t="shared" si="67"/>
        <v>0.0008455944529003889</v>
      </c>
      <c r="H60" s="62">
        <f t="shared" si="67"/>
        <v>0.0007927447995941146</v>
      </c>
      <c r="I60" s="62">
        <f t="shared" si="67"/>
        <v>0.0007461127525591666</v>
      </c>
      <c r="J60" s="62">
        <f t="shared" si="67"/>
        <v>0.0007046620440836573</v>
      </c>
      <c r="K60" s="62">
        <f t="shared" si="67"/>
        <v>0.0007046620440836575</v>
      </c>
      <c r="L60" s="62">
        <f t="shared" si="67"/>
        <v>0.0007046620440836575</v>
      </c>
      <c r="M60" s="62">
        <f t="shared" si="67"/>
        <v>0.0007046620440836575</v>
      </c>
      <c r="N60" s="62">
        <f t="shared" si="67"/>
        <v>0.0007046620440836575</v>
      </c>
      <c r="O60" s="62">
        <f t="shared" si="67"/>
        <v>0.0007046620440836575</v>
      </c>
      <c r="P60" s="62">
        <f t="shared" si="67"/>
        <v>0.0007046620440836575</v>
      </c>
      <c r="Q60" s="62">
        <f t="shared" si="67"/>
        <v>0.0007046620440836575</v>
      </c>
      <c r="R60" s="62">
        <f aca="true" t="shared" si="68" ref="R60:X60">IF(R15&lt;=0,0,50*1000/0.9/R15)</f>
        <v>0.0007046620440836575</v>
      </c>
      <c r="S60" s="62">
        <f t="shared" si="68"/>
        <v>0.0007046620440836575</v>
      </c>
      <c r="T60" s="62">
        <f t="shared" si="68"/>
        <v>0.0007046620440836575</v>
      </c>
      <c r="U60" s="62">
        <f t="shared" si="68"/>
        <v>0.0007046620440836575</v>
      </c>
      <c r="V60" s="62">
        <f t="shared" si="68"/>
        <v>0.0007046620440836575</v>
      </c>
      <c r="W60" s="62">
        <f t="shared" si="68"/>
        <v>0.0007046620440836575</v>
      </c>
      <c r="X60" s="62">
        <f t="shared" si="68"/>
        <v>0.0007046620440836575</v>
      </c>
      <c r="Y60" s="62">
        <f aca="true" t="shared" si="69" ref="Y60:AE60">IF(Y15&lt;=0,0,50*1000/0.9/Y15)</f>
        <v>0.0007046620440836575</v>
      </c>
      <c r="Z60" s="62">
        <f t="shared" si="69"/>
        <v>0.0007046620440836575</v>
      </c>
      <c r="AA60" s="62">
        <f t="shared" si="69"/>
        <v>0.0007046620440836575</v>
      </c>
      <c r="AB60" s="62">
        <f t="shared" si="69"/>
        <v>0.0007046620440836575</v>
      </c>
      <c r="AC60" s="62">
        <f t="shared" si="69"/>
        <v>0.0007046620440836575</v>
      </c>
      <c r="AD60" s="62">
        <f t="shared" si="69"/>
        <v>0.0007046620440836575</v>
      </c>
      <c r="AE60" s="62">
        <f t="shared" si="69"/>
        <v>0.0007046620440836575</v>
      </c>
    </row>
    <row r="61" spans="3:31" ht="12.75" hidden="1">
      <c r="C61" s="5" t="s">
        <v>247</v>
      </c>
      <c r="D61" s="5" t="s">
        <v>260</v>
      </c>
      <c r="E61" s="62">
        <f aca="true" t="shared" si="70" ref="E61:Q61">E60*E15/1000</f>
        <v>0</v>
      </c>
      <c r="F61" s="62">
        <f t="shared" si="70"/>
        <v>0</v>
      </c>
      <c r="G61" s="62">
        <f t="shared" si="70"/>
        <v>55.55555555555556</v>
      </c>
      <c r="H61" s="62">
        <f t="shared" si="70"/>
        <v>55.55555555555556</v>
      </c>
      <c r="I61" s="62">
        <f t="shared" si="70"/>
        <v>55.55555555555556</v>
      </c>
      <c r="J61" s="62">
        <f t="shared" si="70"/>
        <v>55.55555555555556</v>
      </c>
      <c r="K61" s="62">
        <f t="shared" si="70"/>
        <v>55.55555555555556</v>
      </c>
      <c r="L61" s="62">
        <f t="shared" si="70"/>
        <v>55.55555555555556</v>
      </c>
      <c r="M61" s="62">
        <f t="shared" si="70"/>
        <v>55.55555555555556</v>
      </c>
      <c r="N61" s="62">
        <f t="shared" si="70"/>
        <v>55.55555555555556</v>
      </c>
      <c r="O61" s="62">
        <f t="shared" si="70"/>
        <v>55.55555555555556</v>
      </c>
      <c r="P61" s="62">
        <f t="shared" si="70"/>
        <v>55.55555555555556</v>
      </c>
      <c r="Q61" s="62">
        <f t="shared" si="70"/>
        <v>55.55555555555556</v>
      </c>
      <c r="R61" s="62">
        <f aca="true" t="shared" si="71" ref="R61:X61">R60*R15/1000</f>
        <v>55.55555555555556</v>
      </c>
      <c r="S61" s="62">
        <f t="shared" si="71"/>
        <v>55.55555555555556</v>
      </c>
      <c r="T61" s="62">
        <f t="shared" si="71"/>
        <v>55.55555555555556</v>
      </c>
      <c r="U61" s="62">
        <f t="shared" si="71"/>
        <v>55.55555555555556</v>
      </c>
      <c r="V61" s="62">
        <f t="shared" si="71"/>
        <v>55.55555555555556</v>
      </c>
      <c r="W61" s="62">
        <f t="shared" si="71"/>
        <v>55.55555555555556</v>
      </c>
      <c r="X61" s="62">
        <f t="shared" si="71"/>
        <v>55.55555555555556</v>
      </c>
      <c r="Y61" s="62">
        <f aca="true" t="shared" si="72" ref="Y61:AE61">Y60*Y15/1000</f>
        <v>55.55555555555556</v>
      </c>
      <c r="Z61" s="62">
        <f t="shared" si="72"/>
        <v>55.55555555555556</v>
      </c>
      <c r="AA61" s="62">
        <f t="shared" si="72"/>
        <v>55.55555555555556</v>
      </c>
      <c r="AB61" s="62">
        <f t="shared" si="72"/>
        <v>55.55555555555556</v>
      </c>
      <c r="AC61" s="62">
        <f t="shared" si="72"/>
        <v>55.55555555555556</v>
      </c>
      <c r="AD61" s="62">
        <f t="shared" si="72"/>
        <v>55.55555555555556</v>
      </c>
      <c r="AE61" s="62">
        <f t="shared" si="72"/>
        <v>55.55555555555556</v>
      </c>
    </row>
    <row r="62" spans="3:31" ht="12.75" hidden="1">
      <c r="C62" s="11" t="s">
        <v>261</v>
      </c>
      <c r="D62" s="11" t="s">
        <v>265</v>
      </c>
      <c r="E62" s="65">
        <f>56000*E156</f>
        <v>0</v>
      </c>
      <c r="F62" s="65">
        <f>E62*(1+F63)</f>
        <v>0</v>
      </c>
      <c r="G62" s="65">
        <f aca="true" t="shared" si="73" ref="G62:Q62">F62*(1+G63)</f>
        <v>0</v>
      </c>
      <c r="H62" s="65">
        <f t="shared" si="73"/>
        <v>0</v>
      </c>
      <c r="I62" s="65">
        <f t="shared" si="73"/>
        <v>0</v>
      </c>
      <c r="J62" s="65">
        <f t="shared" si="73"/>
        <v>0</v>
      </c>
      <c r="K62" s="65">
        <f t="shared" si="73"/>
        <v>0</v>
      </c>
      <c r="L62" s="65">
        <f t="shared" si="73"/>
        <v>0</v>
      </c>
      <c r="M62" s="65">
        <f t="shared" si="73"/>
        <v>0</v>
      </c>
      <c r="N62" s="65">
        <f t="shared" si="73"/>
        <v>0</v>
      </c>
      <c r="O62" s="65">
        <f t="shared" si="73"/>
        <v>0</v>
      </c>
      <c r="P62" s="65">
        <f t="shared" si="73"/>
        <v>0</v>
      </c>
      <c r="Q62" s="65">
        <f t="shared" si="73"/>
        <v>0</v>
      </c>
      <c r="R62" s="65">
        <f>Q62*(1+R63)</f>
        <v>0</v>
      </c>
      <c r="S62" s="65">
        <f>R62*(1+S63)</f>
        <v>0</v>
      </c>
      <c r="T62" s="65">
        <f>S62*(1+T63)</f>
        <v>0</v>
      </c>
      <c r="U62" s="65">
        <f>T62*(1+U63)</f>
        <v>0</v>
      </c>
      <c r="V62" s="65">
        <f>U62*(1+V63)</f>
        <v>0</v>
      </c>
      <c r="W62" s="65">
        <f>V62*(1+W63)</f>
        <v>0</v>
      </c>
      <c r="X62" s="65">
        <f>W62*(1+X63)</f>
        <v>0</v>
      </c>
      <c r="Y62" s="65">
        <f>X62*(1+Y63)</f>
        <v>0</v>
      </c>
      <c r="Z62" s="65">
        <f>Y62*(1+Z63)</f>
        <v>0</v>
      </c>
      <c r="AA62" s="65">
        <f>Z62*(1+AA63)</f>
        <v>0</v>
      </c>
      <c r="AB62" s="65">
        <f>AA62*(1+AB63)</f>
        <v>0</v>
      </c>
      <c r="AC62" s="65">
        <f>AB62*(1+AC63)</f>
        <v>0</v>
      </c>
      <c r="AD62" s="65">
        <f>AC62*(1+AD63)</f>
        <v>0</v>
      </c>
      <c r="AE62" s="65">
        <f>AD62*(1+AE63)</f>
        <v>0</v>
      </c>
    </row>
    <row r="63" spans="3:31" ht="12.75" hidden="1">
      <c r="C63" s="11" t="s">
        <v>252</v>
      </c>
      <c r="D63" s="11" t="s">
        <v>10</v>
      </c>
      <c r="E63" s="66">
        <v>0</v>
      </c>
      <c r="F63" s="66">
        <f>E63</f>
        <v>0</v>
      </c>
      <c r="G63" s="66">
        <f aca="true" t="shared" si="74" ref="G63:Q63">F63</f>
        <v>0</v>
      </c>
      <c r="H63" s="66">
        <v>0.03</v>
      </c>
      <c r="I63" s="66">
        <f t="shared" si="74"/>
        <v>0.03</v>
      </c>
      <c r="J63" s="66">
        <f t="shared" si="74"/>
        <v>0.03</v>
      </c>
      <c r="K63" s="66">
        <f t="shared" si="74"/>
        <v>0.03</v>
      </c>
      <c r="L63" s="66">
        <f t="shared" si="74"/>
        <v>0.03</v>
      </c>
      <c r="M63" s="66">
        <f t="shared" si="74"/>
        <v>0.03</v>
      </c>
      <c r="N63" s="66">
        <f t="shared" si="74"/>
        <v>0.03</v>
      </c>
      <c r="O63" s="66">
        <f t="shared" si="74"/>
        <v>0.03</v>
      </c>
      <c r="P63" s="66">
        <f t="shared" si="74"/>
        <v>0.03</v>
      </c>
      <c r="Q63" s="66">
        <f t="shared" si="74"/>
        <v>0.03</v>
      </c>
      <c r="R63" s="66">
        <f>Q63</f>
        <v>0.03</v>
      </c>
      <c r="S63" s="66">
        <f>R63</f>
        <v>0.03</v>
      </c>
      <c r="T63" s="66">
        <f>S63</f>
        <v>0.03</v>
      </c>
      <c r="U63" s="66">
        <f>T63</f>
        <v>0.03</v>
      </c>
      <c r="V63" s="66">
        <f>U63</f>
        <v>0.03</v>
      </c>
      <c r="W63" s="66">
        <f>V63</f>
        <v>0.03</v>
      </c>
      <c r="X63" s="66">
        <f>W63</f>
        <v>0.03</v>
      </c>
      <c r="Y63" s="66">
        <f>X63</f>
        <v>0.03</v>
      </c>
      <c r="Z63" s="66">
        <f>Y63</f>
        <v>0.03</v>
      </c>
      <c r="AA63" s="66">
        <f>Z63</f>
        <v>0.03</v>
      </c>
      <c r="AB63" s="66">
        <f>AA63</f>
        <v>0.03</v>
      </c>
      <c r="AC63" s="66">
        <f>AB63</f>
        <v>0.03</v>
      </c>
      <c r="AD63" s="66">
        <f>AC63</f>
        <v>0.03</v>
      </c>
      <c r="AE63" s="66">
        <f>AD63</f>
        <v>0.03</v>
      </c>
    </row>
    <row r="64" spans="3:31" ht="12.75" hidden="1">
      <c r="C64" s="16" t="s">
        <v>262</v>
      </c>
      <c r="D64" s="16" t="s">
        <v>22</v>
      </c>
      <c r="E64" s="28">
        <f aca="true" t="shared" si="75" ref="E64:Q64">E62*E61/cr</f>
        <v>0</v>
      </c>
      <c r="F64" s="28">
        <f t="shared" si="75"/>
        <v>0</v>
      </c>
      <c r="G64" s="28">
        <f t="shared" si="75"/>
        <v>0</v>
      </c>
      <c r="H64" s="28">
        <f t="shared" si="75"/>
        <v>0</v>
      </c>
      <c r="I64" s="28">
        <f t="shared" si="75"/>
        <v>0</v>
      </c>
      <c r="J64" s="28">
        <f t="shared" si="75"/>
        <v>0</v>
      </c>
      <c r="K64" s="28">
        <f t="shared" si="75"/>
        <v>0</v>
      </c>
      <c r="L64" s="28">
        <f t="shared" si="75"/>
        <v>0</v>
      </c>
      <c r="M64" s="28">
        <f t="shared" si="75"/>
        <v>0</v>
      </c>
      <c r="N64" s="28">
        <f t="shared" si="75"/>
        <v>0</v>
      </c>
      <c r="O64" s="28">
        <f t="shared" si="75"/>
        <v>0</v>
      </c>
      <c r="P64" s="28">
        <f t="shared" si="75"/>
        <v>0</v>
      </c>
      <c r="Q64" s="28">
        <f t="shared" si="75"/>
        <v>0</v>
      </c>
      <c r="R64" s="28">
        <f aca="true" t="shared" si="76" ref="R64:X64">R62*R61/cr</f>
        <v>0</v>
      </c>
      <c r="S64" s="28">
        <f t="shared" si="76"/>
        <v>0</v>
      </c>
      <c r="T64" s="28">
        <f t="shared" si="76"/>
        <v>0</v>
      </c>
      <c r="U64" s="28">
        <f t="shared" si="76"/>
        <v>0</v>
      </c>
      <c r="V64" s="28">
        <f t="shared" si="76"/>
        <v>0</v>
      </c>
      <c r="W64" s="28">
        <f t="shared" si="76"/>
        <v>0</v>
      </c>
      <c r="X64" s="28">
        <f t="shared" si="76"/>
        <v>0</v>
      </c>
      <c r="Y64" s="28">
        <f aca="true" t="shared" si="77" ref="Y64:AE64">Y62*Y61/cr</f>
        <v>0</v>
      </c>
      <c r="Z64" s="28">
        <f t="shared" si="77"/>
        <v>0</v>
      </c>
      <c r="AA64" s="28">
        <f t="shared" si="77"/>
        <v>0</v>
      </c>
      <c r="AB64" s="28">
        <f t="shared" si="77"/>
        <v>0</v>
      </c>
      <c r="AC64" s="28">
        <f t="shared" si="77"/>
        <v>0</v>
      </c>
      <c r="AD64" s="28">
        <f t="shared" si="77"/>
        <v>0</v>
      </c>
      <c r="AE64" s="28">
        <f t="shared" si="77"/>
        <v>0</v>
      </c>
    </row>
    <row r="65" spans="3:31" s="1" customFormat="1" ht="12.75" hidden="1">
      <c r="C65" s="16" t="s">
        <v>263</v>
      </c>
      <c r="D65" s="20" t="s">
        <v>235</v>
      </c>
      <c r="E65" s="28">
        <f aca="true" t="shared" si="78" ref="E65:Q65">IF(E15&lt;=0,0,E64*cr/E15)</f>
        <v>0</v>
      </c>
      <c r="F65" s="28">
        <f t="shared" si="78"/>
        <v>0</v>
      </c>
      <c r="G65" s="28">
        <f t="shared" si="78"/>
        <v>0</v>
      </c>
      <c r="H65" s="28">
        <f t="shared" si="78"/>
        <v>0</v>
      </c>
      <c r="I65" s="28">
        <f t="shared" si="78"/>
        <v>0</v>
      </c>
      <c r="J65" s="28">
        <f t="shared" si="78"/>
        <v>0</v>
      </c>
      <c r="K65" s="28">
        <f t="shared" si="78"/>
        <v>0</v>
      </c>
      <c r="L65" s="28">
        <f t="shared" si="78"/>
        <v>0</v>
      </c>
      <c r="M65" s="28">
        <f t="shared" si="78"/>
        <v>0</v>
      </c>
      <c r="N65" s="28">
        <f t="shared" si="78"/>
        <v>0</v>
      </c>
      <c r="O65" s="28">
        <f t="shared" si="78"/>
        <v>0</v>
      </c>
      <c r="P65" s="28">
        <f t="shared" si="78"/>
        <v>0</v>
      </c>
      <c r="Q65" s="28">
        <f t="shared" si="78"/>
        <v>0</v>
      </c>
      <c r="R65" s="28">
        <f aca="true" t="shared" si="79" ref="R65:X65">IF(R15&lt;=0,0,R64*cr/R15)</f>
        <v>0</v>
      </c>
      <c r="S65" s="28">
        <f t="shared" si="79"/>
        <v>0</v>
      </c>
      <c r="T65" s="28">
        <f t="shared" si="79"/>
        <v>0</v>
      </c>
      <c r="U65" s="28">
        <f t="shared" si="79"/>
        <v>0</v>
      </c>
      <c r="V65" s="28">
        <f t="shared" si="79"/>
        <v>0</v>
      </c>
      <c r="W65" s="28">
        <f t="shared" si="79"/>
        <v>0</v>
      </c>
      <c r="X65" s="28">
        <f t="shared" si="79"/>
        <v>0</v>
      </c>
      <c r="Y65" s="28">
        <f aca="true" t="shared" si="80" ref="Y65:AE65">IF(Y15&lt;=0,0,Y64*cr/Y15)</f>
        <v>0</v>
      </c>
      <c r="Z65" s="28">
        <f t="shared" si="80"/>
        <v>0</v>
      </c>
      <c r="AA65" s="28">
        <f t="shared" si="80"/>
        <v>0</v>
      </c>
      <c r="AB65" s="28">
        <f t="shared" si="80"/>
        <v>0</v>
      </c>
      <c r="AC65" s="28">
        <f t="shared" si="80"/>
        <v>0</v>
      </c>
      <c r="AD65" s="28">
        <f t="shared" si="80"/>
        <v>0</v>
      </c>
      <c r="AE65" s="28">
        <f t="shared" si="80"/>
        <v>0</v>
      </c>
    </row>
    <row r="66" spans="3:31" ht="12.75" hidden="1">
      <c r="C66" s="5"/>
      <c r="D66" s="5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3:31" s="1" customFormat="1" ht="12.75" hidden="1">
      <c r="C67" s="20" t="s">
        <v>266</v>
      </c>
      <c r="D67" s="20" t="s">
        <v>22</v>
      </c>
      <c r="E67" s="28">
        <f>E64+E53</f>
        <v>0</v>
      </c>
      <c r="F67" s="28">
        <f aca="true" t="shared" si="81" ref="F67:Q67">F64+F53</f>
        <v>0</v>
      </c>
      <c r="G67" s="28">
        <f t="shared" si="81"/>
        <v>14.1912</v>
      </c>
      <c r="H67" s="28">
        <f t="shared" si="81"/>
        <v>15.13728</v>
      </c>
      <c r="I67" s="28">
        <f t="shared" si="81"/>
        <v>16.083360000000003</v>
      </c>
      <c r="J67" s="28">
        <f t="shared" si="81"/>
        <v>17.029440000000005</v>
      </c>
      <c r="K67" s="28">
        <f t="shared" si="81"/>
        <v>17.02944</v>
      </c>
      <c r="L67" s="28">
        <f t="shared" si="81"/>
        <v>17.02944</v>
      </c>
      <c r="M67" s="28">
        <f t="shared" si="81"/>
        <v>17.02944</v>
      </c>
      <c r="N67" s="28">
        <f t="shared" si="81"/>
        <v>17.02944</v>
      </c>
      <c r="O67" s="28">
        <f t="shared" si="81"/>
        <v>17.02944</v>
      </c>
      <c r="P67" s="28">
        <f t="shared" si="81"/>
        <v>17.02944</v>
      </c>
      <c r="Q67" s="28">
        <f t="shared" si="81"/>
        <v>17.02944</v>
      </c>
      <c r="R67" s="28">
        <f aca="true" t="shared" si="82" ref="R67:X67">R64+R53</f>
        <v>17.02944</v>
      </c>
      <c r="S67" s="28">
        <f t="shared" si="82"/>
        <v>17.02944</v>
      </c>
      <c r="T67" s="28">
        <f t="shared" si="82"/>
        <v>17.02944</v>
      </c>
      <c r="U67" s="28">
        <f t="shared" si="82"/>
        <v>17.02944</v>
      </c>
      <c r="V67" s="28">
        <f t="shared" si="82"/>
        <v>17.02944</v>
      </c>
      <c r="W67" s="28">
        <f t="shared" si="82"/>
        <v>17.02944</v>
      </c>
      <c r="X67" s="28">
        <f t="shared" si="82"/>
        <v>17.02944</v>
      </c>
      <c r="Y67" s="28">
        <f aca="true" t="shared" si="83" ref="Y67:AE67">Y64+Y53</f>
        <v>17.02944</v>
      </c>
      <c r="Z67" s="28">
        <f t="shared" si="83"/>
        <v>17.02944</v>
      </c>
      <c r="AA67" s="28">
        <f t="shared" si="83"/>
        <v>17.02944</v>
      </c>
      <c r="AB67" s="28">
        <f t="shared" si="83"/>
        <v>17.02944</v>
      </c>
      <c r="AC67" s="28">
        <f t="shared" si="83"/>
        <v>17.02944</v>
      </c>
      <c r="AD67" s="28">
        <f t="shared" si="83"/>
        <v>17.02944</v>
      </c>
      <c r="AE67" s="28">
        <f t="shared" si="83"/>
        <v>17.02944</v>
      </c>
    </row>
    <row r="68" spans="3:31" ht="12.75" hidden="1">
      <c r="C68" s="5"/>
      <c r="D68" s="5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3:31" ht="12.75" hidden="1">
      <c r="C69" s="5"/>
      <c r="D69" s="5"/>
      <c r="E69" s="5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3:31" ht="12.75">
      <c r="C70" s="67" t="s">
        <v>267</v>
      </c>
      <c r="D70" s="5"/>
      <c r="E70" s="5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3:31" ht="12.75">
      <c r="C71" s="5" t="s">
        <v>267</v>
      </c>
      <c r="D71" s="5" t="s">
        <v>268</v>
      </c>
      <c r="E71" s="12">
        <v>0.03</v>
      </c>
      <c r="F71" s="25">
        <f>E71*(1+F73)</f>
        <v>0.03</v>
      </c>
      <c r="G71" s="25">
        <f aca="true" t="shared" si="84" ref="G71:Q71">F71*(1+G73)</f>
        <v>0.03</v>
      </c>
      <c r="H71" s="25">
        <f t="shared" si="84"/>
        <v>0.0309</v>
      </c>
      <c r="I71" s="25">
        <f t="shared" si="84"/>
        <v>0.031827</v>
      </c>
      <c r="J71" s="25">
        <f t="shared" si="84"/>
        <v>0.03278181</v>
      </c>
      <c r="K71" s="25">
        <f t="shared" si="84"/>
        <v>0.0337652643</v>
      </c>
      <c r="L71" s="25">
        <f t="shared" si="84"/>
        <v>0.034778222229000004</v>
      </c>
      <c r="M71" s="25">
        <f t="shared" si="84"/>
        <v>0.03582156889587001</v>
      </c>
      <c r="N71" s="25">
        <f t="shared" si="84"/>
        <v>0.03689621596274611</v>
      </c>
      <c r="O71" s="25">
        <f t="shared" si="84"/>
        <v>0.038003102441628495</v>
      </c>
      <c r="P71" s="25">
        <f t="shared" si="84"/>
        <v>0.03914319551487735</v>
      </c>
      <c r="Q71" s="25">
        <f t="shared" si="84"/>
        <v>0.04031749138032367</v>
      </c>
      <c r="R71" s="25">
        <f>Q71*(1+R73)</f>
        <v>0.04152701612173338</v>
      </c>
      <c r="S71" s="25">
        <f>R71*(1+S73)</f>
        <v>0.04277282660538538</v>
      </c>
      <c r="T71" s="25">
        <f>S71*(1+T73)</f>
        <v>0.044056011403546945</v>
      </c>
      <c r="U71" s="25">
        <f>T71*(1+U73)</f>
        <v>0.045377691745653356</v>
      </c>
      <c r="V71" s="25">
        <f>U71*(1+V73)</f>
        <v>0.04673902249802296</v>
      </c>
      <c r="W71" s="25">
        <f>V71*(1+W73)</f>
        <v>0.04814119317296365</v>
      </c>
      <c r="X71" s="25">
        <f>W71*(1+X73)</f>
        <v>0.04958542896815256</v>
      </c>
      <c r="Y71" s="25">
        <f>X71*(1+Y73)</f>
        <v>0.051072991837197136</v>
      </c>
      <c r="Z71" s="25">
        <f>Y71*(1+Z73)</f>
        <v>0.052605181592313054</v>
      </c>
      <c r="AA71" s="25">
        <f>Z71*(1+AA73)</f>
        <v>0.05418333704008245</v>
      </c>
      <c r="AB71" s="25">
        <f>AA71*(1+AB73)</f>
        <v>0.05580883715128492</v>
      </c>
      <c r="AC71" s="25">
        <f>AB71*(1+AC73)</f>
        <v>0.05748310226582347</v>
      </c>
      <c r="AD71" s="25">
        <f>AC71*(1+AD73)</f>
        <v>0.05920759533379817</v>
      </c>
      <c r="AE71" s="25">
        <f>AD71*(1+AE73)</f>
        <v>0.06098382319381212</v>
      </c>
    </row>
    <row r="72" spans="3:31" ht="12.75">
      <c r="C72" s="20" t="s">
        <v>267</v>
      </c>
      <c r="D72" s="20" t="s">
        <v>22</v>
      </c>
      <c r="E72" s="68">
        <f>IF(Depreciation!E3&lt;=0,0,E71*Depreciation!E5*Depreciation!E3/365)</f>
        <v>0</v>
      </c>
      <c r="F72" s="68">
        <f>IF(Depreciation!F3&lt;=0,0,F71*Depreciation!F5*Depreciation!F3/365)</f>
        <v>0</v>
      </c>
      <c r="G72" s="68">
        <f>IF(Depreciation!G3&lt;=0,0,G71*Depreciation!G5*Depreciation!G3/365)</f>
        <v>1.597242657321426</v>
      </c>
      <c r="H72" s="68">
        <f>IF(Depreciation!H3&lt;=0,0,H71*Depreciation!H5*Depreciation!H3/365)</f>
        <v>1.6451599370410688</v>
      </c>
      <c r="I72" s="68">
        <f>IF(Depreciation!I3&lt;=0,0,I71*Depreciation!I5*Depreciation!I3/365)</f>
        <v>1.6945147351523009</v>
      </c>
      <c r="J72" s="68">
        <f>IF(Depreciation!J3&lt;=0,0,J71*Depreciation!J5*Depreciation!J3/365)</f>
        <v>1.81419197820687</v>
      </c>
      <c r="K72" s="68">
        <f>IF(Depreciation!K3&lt;=0,0,K71*Depreciation!K5*Depreciation!K3/365)</f>
        <v>1.8686177375530761</v>
      </c>
      <c r="L72" s="68">
        <f>IF(Depreciation!L3&lt;=0,0,L71*Depreciation!L5*Depreciation!L3/365)</f>
        <v>1.9246762696796689</v>
      </c>
      <c r="M72" s="68">
        <f>IF(Depreciation!M3&lt;=0,0,M71*Depreciation!M5*Depreciation!M3/365)</f>
        <v>2.107792048905604</v>
      </c>
      <c r="N72" s="68">
        <f>IF(Depreciation!N3&lt;=0,0,N71*Depreciation!N5*Depreciation!N3/365)</f>
        <v>2.171025810372772</v>
      </c>
      <c r="O72" s="68">
        <f>IF(Depreciation!O3&lt;=0,0,O71*Depreciation!O5*Depreciation!O3/365)</f>
        <v>2.239956894928118</v>
      </c>
      <c r="P72" s="68">
        <f>IF(Depreciation!P3&lt;=0,0,P71*Depreciation!P5*Depreciation!P3/365)</f>
        <v>2.4637283838354707</v>
      </c>
      <c r="Q72" s="68">
        <f>IF(Depreciation!Q3&lt;=0,0,Q71*Depreciation!Q5*Depreciation!Q3/365)</f>
        <v>2.537640235350535</v>
      </c>
      <c r="R72" s="68">
        <f>IF(Depreciation!R3&lt;=0,0,R71*Depreciation!R5*Depreciation!R3/365)</f>
        <v>2.613769442411051</v>
      </c>
      <c r="S72" s="68">
        <f>IF(Depreciation!S3&lt;=0,0,S71*Depreciation!S5*Depreciation!S3/365)</f>
        <v>2.841887418802232</v>
      </c>
      <c r="T72" s="68">
        <f>IF(Depreciation!T3&lt;=0,0,T71*Depreciation!T5*Depreciation!T3/365)</f>
        <v>2.938158044217185</v>
      </c>
      <c r="U72" s="68">
        <f>IF(Depreciation!U3&lt;=0,0,U71*Depreciation!U5*Depreciation!U3/365)</f>
        <v>3.026302785543701</v>
      </c>
      <c r="V72" s="68">
        <f>IF(Depreciation!V3&lt;=0,0,V71*Depreciation!V5*Depreciation!V3/365)</f>
        <v>3.2105699141060584</v>
      </c>
      <c r="W72" s="68">
        <f>IF(Depreciation!W3&lt;=0,0,W71*Depreciation!W5*Depreciation!W3/365)</f>
        <v>3.30688701152924</v>
      </c>
      <c r="X72" s="68">
        <f>IF(Depreciation!X3&lt;=0,0,X71*Depreciation!X5*Depreciation!X3/365)</f>
        <v>3.4060936218751174</v>
      </c>
      <c r="Y72" s="68">
        <f>IF(Depreciation!Y3&lt;=0,0,Y71*Depreciation!Y5*Depreciation!Y3/365)</f>
        <v>3.794285184819675</v>
      </c>
      <c r="Z72" s="68">
        <f>IF(Depreciation!Z3&lt;=0,0,Z71*Depreciation!Z5*Depreciation!Z3/365)</f>
        <v>3.9081137403642656</v>
      </c>
      <c r="AA72" s="68">
        <f>IF(Depreciation!AA3&lt;=0,0,AA71*Depreciation!AA5*Depreciation!AA3/365)</f>
        <v>4.025357152575194</v>
      </c>
      <c r="AB72" s="68">
        <f>IF(Depreciation!AB3&lt;=0,0,AB71*Depreciation!AB5*Depreciation!AB3/365)</f>
        <v>4.25773554145502</v>
      </c>
      <c r="AC72" s="68">
        <f>IF(Depreciation!AC3&lt;=0,0,AC71*Depreciation!AC5*Depreciation!AC3/365)</f>
        <v>4.38546760769867</v>
      </c>
      <c r="AD72" s="68">
        <f>IF(Depreciation!AD3&lt;=0,0,AD71*Depreciation!AD5*Depreciation!AD3/365)</f>
        <v>4.53183353476308</v>
      </c>
      <c r="AE72" s="68">
        <f>IF(Depreciation!AE3&lt;=0,0,AE71*Depreciation!AE5*Depreciation!AE3/365)</f>
        <v>4.667788540805972</v>
      </c>
    </row>
    <row r="73" spans="3:31" ht="12.75">
      <c r="C73" s="5" t="s">
        <v>269</v>
      </c>
      <c r="D73" s="5" t="s">
        <v>10</v>
      </c>
      <c r="E73" s="12">
        <v>0</v>
      </c>
      <c r="F73" s="25">
        <f>E73</f>
        <v>0</v>
      </c>
      <c r="G73" s="25">
        <f aca="true" t="shared" si="85" ref="G73:Q73">F73</f>
        <v>0</v>
      </c>
      <c r="H73" s="25">
        <v>0.03</v>
      </c>
      <c r="I73" s="25">
        <f t="shared" si="85"/>
        <v>0.03</v>
      </c>
      <c r="J73" s="25">
        <f t="shared" si="85"/>
        <v>0.03</v>
      </c>
      <c r="K73" s="25">
        <f t="shared" si="85"/>
        <v>0.03</v>
      </c>
      <c r="L73" s="25">
        <f t="shared" si="85"/>
        <v>0.03</v>
      </c>
      <c r="M73" s="25">
        <f t="shared" si="85"/>
        <v>0.03</v>
      </c>
      <c r="N73" s="25">
        <f t="shared" si="85"/>
        <v>0.03</v>
      </c>
      <c r="O73" s="25">
        <f t="shared" si="85"/>
        <v>0.03</v>
      </c>
      <c r="P73" s="25">
        <f t="shared" si="85"/>
        <v>0.03</v>
      </c>
      <c r="Q73" s="25">
        <f t="shared" si="85"/>
        <v>0.03</v>
      </c>
      <c r="R73" s="25">
        <f>Q73</f>
        <v>0.03</v>
      </c>
      <c r="S73" s="25">
        <f>R73</f>
        <v>0.03</v>
      </c>
      <c r="T73" s="25">
        <f>S73</f>
        <v>0.03</v>
      </c>
      <c r="U73" s="25">
        <f>T73</f>
        <v>0.03</v>
      </c>
      <c r="V73" s="25">
        <f>U73</f>
        <v>0.03</v>
      </c>
      <c r="W73" s="25">
        <f>V73</f>
        <v>0.03</v>
      </c>
      <c r="X73" s="25">
        <f>W73</f>
        <v>0.03</v>
      </c>
      <c r="Y73" s="25">
        <f>X73</f>
        <v>0.03</v>
      </c>
      <c r="Z73" s="25">
        <f>Y73</f>
        <v>0.03</v>
      </c>
      <c r="AA73" s="25">
        <f>Z73</f>
        <v>0.03</v>
      </c>
      <c r="AB73" s="25">
        <f>AA73</f>
        <v>0.03</v>
      </c>
      <c r="AC73" s="25">
        <f>AB73</f>
        <v>0.03</v>
      </c>
      <c r="AD73" s="25">
        <f>AC73</f>
        <v>0.03</v>
      </c>
      <c r="AE73" s="25">
        <f>AD73</f>
        <v>0.03</v>
      </c>
    </row>
    <row r="74" spans="3:31" ht="12.75">
      <c r="C74" s="5"/>
      <c r="D74" s="5"/>
      <c r="E74" s="5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3:31" ht="12.75">
      <c r="C75" s="67" t="s">
        <v>273</v>
      </c>
      <c r="D75" s="5"/>
      <c r="E75" s="5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3:31" ht="12.75">
      <c r="C76" s="5" t="s">
        <v>273</v>
      </c>
      <c r="D76" s="5" t="s">
        <v>274</v>
      </c>
      <c r="E76" s="12">
        <v>0.003</v>
      </c>
      <c r="F76" s="25">
        <f>E76*(1+F78)</f>
        <v>0.003</v>
      </c>
      <c r="G76" s="25">
        <f aca="true" t="shared" si="86" ref="G76:Q76">F76*(1+G78)</f>
        <v>0.003</v>
      </c>
      <c r="H76" s="25">
        <f t="shared" si="86"/>
        <v>0.0030900000000000003</v>
      </c>
      <c r="I76" s="25">
        <f t="shared" si="86"/>
        <v>0.0031827000000000005</v>
      </c>
      <c r="J76" s="25">
        <f t="shared" si="86"/>
        <v>0.0032781810000000007</v>
      </c>
      <c r="K76" s="25">
        <f t="shared" si="86"/>
        <v>0.003376526430000001</v>
      </c>
      <c r="L76" s="25">
        <f t="shared" si="86"/>
        <v>0.0034778222229000007</v>
      </c>
      <c r="M76" s="25">
        <f t="shared" si="86"/>
        <v>0.003582156889587001</v>
      </c>
      <c r="N76" s="25">
        <f t="shared" si="86"/>
        <v>0.003689621596274611</v>
      </c>
      <c r="O76" s="25">
        <f t="shared" si="86"/>
        <v>0.0038003102441628495</v>
      </c>
      <c r="P76" s="25">
        <f t="shared" si="86"/>
        <v>0.003914319551487735</v>
      </c>
      <c r="Q76" s="25">
        <f t="shared" si="86"/>
        <v>0.004031749138032367</v>
      </c>
      <c r="R76" s="25">
        <f>Q76*(1+R78)</f>
        <v>0.004152701612173338</v>
      </c>
      <c r="S76" s="25">
        <f>R76*(1+S78)</f>
        <v>0.004277282660538538</v>
      </c>
      <c r="T76" s="25">
        <f>S76*(1+T78)</f>
        <v>0.004405601140354694</v>
      </c>
      <c r="U76" s="25">
        <f>T76*(1+U78)</f>
        <v>0.004537769174565335</v>
      </c>
      <c r="V76" s="25">
        <f>U76*(1+V78)</f>
        <v>0.004673902249802295</v>
      </c>
      <c r="W76" s="25">
        <f>V76*(1+W78)</f>
        <v>0.004814119317296364</v>
      </c>
      <c r="X76" s="25">
        <f>W76*(1+X78)</f>
        <v>0.004958542896815255</v>
      </c>
      <c r="Y76" s="25">
        <f>X76*(1+Y78)</f>
        <v>0.005107299183719712</v>
      </c>
      <c r="Z76" s="25">
        <f>Y76*(1+Z78)</f>
        <v>0.005260518159231304</v>
      </c>
      <c r="AA76" s="25">
        <f>Z76*(1+AA78)</f>
        <v>0.005418333704008243</v>
      </c>
      <c r="AB76" s="25">
        <f>AA76*(1+AB78)</f>
        <v>0.00558088371512849</v>
      </c>
      <c r="AC76" s="25">
        <f>AB76*(1+AC78)</f>
        <v>0.005748310226582345</v>
      </c>
      <c r="AD76" s="25">
        <f>AC76*(1+AD78)</f>
        <v>0.005920759533379815</v>
      </c>
      <c r="AE76" s="25">
        <f>AD76*(1+AE78)</f>
        <v>0.00609838231938121</v>
      </c>
    </row>
    <row r="77" spans="3:31" ht="12.75">
      <c r="C77" s="20" t="s">
        <v>273</v>
      </c>
      <c r="D77" s="20" t="s">
        <v>22</v>
      </c>
      <c r="E77" s="68">
        <f>IF(Depreciation!E3&lt;=0,0,Depreciation!E20*Input!E76*Depreciation!E3/365)</f>
        <v>0</v>
      </c>
      <c r="F77" s="68">
        <f>IF(Depreciation!F3&lt;=0,0,Depreciation!F20*Input!F76*Depreciation!F3/365)</f>
        <v>0</v>
      </c>
      <c r="G77" s="68">
        <f>IF(Depreciation!G3&lt;=0,0,Depreciation!G20*Input!G76*Depreciation!G3/365)</f>
        <v>0.15365436274714261</v>
      </c>
      <c r="H77" s="68">
        <f>IF(Depreciation!H3&lt;=0,0,Depreciation!H20*Input!H76*Depreciation!H3/365)</f>
        <v>0.1520119935550069</v>
      </c>
      <c r="I77" s="68">
        <f>IF(Depreciation!I3&lt;=0,0,Depreciation!I20*Input!I76*Depreciation!I3/365)</f>
        <v>0.1501327932848706</v>
      </c>
      <c r="J77" s="68">
        <f>IF(Depreciation!J3&lt;=0,0,Depreciation!J20*Input!J76*Depreciation!J3/365)</f>
        <v>0.15461284310032664</v>
      </c>
      <c r="K77" s="68">
        <f>IF(Depreciation!K3&lt;=0,0,Depreciation!K20*Input!K76*Depreciation!K3/365)</f>
        <v>0.15213587088775363</v>
      </c>
      <c r="L77" s="68">
        <f>IF(Depreciation!L3&lt;=0,0,Depreciation!L20*Input!L76*Depreciation!L3/365)</f>
        <v>0.14937112878363598</v>
      </c>
      <c r="M77" s="68">
        <f>IF(Depreciation!M3&lt;=0,0,Depreciation!M20*Input!M76*Depreciation!M3/365)</f>
        <v>0.1583396270184846</v>
      </c>
      <c r="N77" s="68">
        <f>IF(Depreciation!N3&lt;=0,0,Depreciation!N20*Input!N76*Depreciation!N3/365)</f>
        <v>0.15479812554455769</v>
      </c>
      <c r="O77" s="68">
        <f>IF(Depreciation!O3&lt;=0,0,Depreciation!O20*Input!O76*Depreciation!O3/365)</f>
        <v>0.15126645810131822</v>
      </c>
      <c r="P77" s="68">
        <f>IF(Depreciation!P3&lt;=0,0,Depreciation!P20*Input!P76*Depreciation!P3/365)</f>
        <v>0.1620231274210584</v>
      </c>
      <c r="Q77" s="68">
        <f>IF(Depreciation!Q3&lt;=0,0,Depreciation!Q20*Input!Q76*Depreciation!Q3/365)</f>
        <v>0.1571620605355623</v>
      </c>
      <c r="R77" s="68">
        <f>IF(Depreciation!R3&lt;=0,0,Depreciation!R20*Input!R76*Depreciation!R3/365)</f>
        <v>0.1518635088222575</v>
      </c>
      <c r="S77" s="68">
        <f>IF(Depreciation!S3&lt;=0,0,Depreciation!S20*Input!S76*Depreciation!S3/365)</f>
        <v>0.16047726789108185</v>
      </c>
      <c r="T77" s="68">
        <f>IF(Depreciation!T3&lt;=0,0,Depreciation!T20*Input!T76*Depreciation!T3/365)</f>
        <v>0.15510891562853937</v>
      </c>
      <c r="U77" s="68">
        <f>IF(Depreciation!U3&lt;=0,0,Depreciation!U20*Input!U76*Depreciation!U3/365)</f>
        <v>0.14813959039550106</v>
      </c>
      <c r="V77" s="68">
        <f>IF(Depreciation!V3&lt;=0,0,Depreciation!V20*Input!V76*Depreciation!V3/365)</f>
        <v>0.1495863999440351</v>
      </c>
      <c r="W77" s="68">
        <f>IF(Depreciation!W3&lt;=0,0,Depreciation!W20*Input!W76*Depreciation!W3/365)</f>
        <v>0.14135845379953257</v>
      </c>
      <c r="X77" s="68">
        <f>IF(Depreciation!X3&lt;=0,0,Depreciation!X20*Input!X76*Depreciation!X3/365)</f>
        <v>0.13250220312641023</v>
      </c>
      <c r="Y77" s="68">
        <f>IF(Depreciation!Y3&lt;=0,0,Depreciation!Y20*Input!Y76*Depreciation!Y3/365)</f>
        <v>0.15044419521615815</v>
      </c>
      <c r="Z77" s="68">
        <f>IF(Depreciation!Z3&lt;=0,0,Depreciation!Z20*Input!Z76*Depreciation!Z3/365)</f>
        <v>0.13988455315678186</v>
      </c>
      <c r="AA77" s="68">
        <f>IF(Depreciation!AA3&lt;=0,0,Depreciation!AA20*Input!AA76*Depreciation!AA3/365)</f>
        <v>0.12855593279814845</v>
      </c>
      <c r="AB77" s="68">
        <f>IF(Depreciation!AB3&lt;=0,0,Depreciation!AB20*Input!AB76*Depreciation!AB3/365)</f>
        <v>0.12713699585320262</v>
      </c>
      <c r="AC77" s="68">
        <f>IF(Depreciation!AC3&lt;=0,0,Depreciation!AC20*Input!AC76*Depreciation!AC3/365)</f>
        <v>0.11402060189887706</v>
      </c>
      <c r="AD77" s="68">
        <f>IF(Depreciation!AD3&lt;=0,0,Depreciation!AD20*Input!AD76*Depreciation!AD3/365)</f>
        <v>0.1014237832990352</v>
      </c>
      <c r="AE77" s="68">
        <f>IF(Depreciation!AE3&lt;=0,0,Depreciation!AE20*Input!AE76*Depreciation!AE3/365)</f>
        <v>0.08644394146164855</v>
      </c>
    </row>
    <row r="78" spans="3:31" ht="12.75">
      <c r="C78" s="5" t="s">
        <v>269</v>
      </c>
      <c r="D78" s="5" t="s">
        <v>10</v>
      </c>
      <c r="E78" s="12">
        <v>0</v>
      </c>
      <c r="F78" s="25">
        <f>E78</f>
        <v>0</v>
      </c>
      <c r="G78" s="25">
        <f aca="true" t="shared" si="87" ref="G78:Q78">F78</f>
        <v>0</v>
      </c>
      <c r="H78" s="25">
        <v>0.03</v>
      </c>
      <c r="I78" s="25">
        <f t="shared" si="87"/>
        <v>0.03</v>
      </c>
      <c r="J78" s="25">
        <f t="shared" si="87"/>
        <v>0.03</v>
      </c>
      <c r="K78" s="25">
        <f t="shared" si="87"/>
        <v>0.03</v>
      </c>
      <c r="L78" s="25">
        <f t="shared" si="87"/>
        <v>0.03</v>
      </c>
      <c r="M78" s="25">
        <f t="shared" si="87"/>
        <v>0.03</v>
      </c>
      <c r="N78" s="25">
        <f t="shared" si="87"/>
        <v>0.03</v>
      </c>
      <c r="O78" s="25">
        <f t="shared" si="87"/>
        <v>0.03</v>
      </c>
      <c r="P78" s="25">
        <f t="shared" si="87"/>
        <v>0.03</v>
      </c>
      <c r="Q78" s="25">
        <f t="shared" si="87"/>
        <v>0.03</v>
      </c>
      <c r="R78" s="25">
        <f>Q78</f>
        <v>0.03</v>
      </c>
      <c r="S78" s="25">
        <f>R78</f>
        <v>0.03</v>
      </c>
      <c r="T78" s="25">
        <f>S78</f>
        <v>0.03</v>
      </c>
      <c r="U78" s="25">
        <f>T78</f>
        <v>0.03</v>
      </c>
      <c r="V78" s="25">
        <f>U78</f>
        <v>0.03</v>
      </c>
      <c r="W78" s="25">
        <f>V78</f>
        <v>0.03</v>
      </c>
      <c r="X78" s="25">
        <f>W78</f>
        <v>0.03</v>
      </c>
      <c r="Y78" s="25">
        <f>X78</f>
        <v>0.03</v>
      </c>
      <c r="Z78" s="25">
        <f>Y78</f>
        <v>0.03</v>
      </c>
      <c r="AA78" s="25">
        <f>Z78</f>
        <v>0.03</v>
      </c>
      <c r="AB78" s="25">
        <f>AA78</f>
        <v>0.03</v>
      </c>
      <c r="AC78" s="25">
        <f>AB78</f>
        <v>0.03</v>
      </c>
      <c r="AD78" s="25">
        <f>AC78</f>
        <v>0.03</v>
      </c>
      <c r="AE78" s="25">
        <f>AD78</f>
        <v>0.03</v>
      </c>
    </row>
    <row r="79" spans="3:31" ht="12.75">
      <c r="C79" s="5"/>
      <c r="D79" s="5"/>
      <c r="E79" s="12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3:31" ht="12.75">
      <c r="C80" s="67" t="s">
        <v>270</v>
      </c>
      <c r="D80" s="5"/>
      <c r="E80" s="1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3:31" ht="12.75">
      <c r="C81" s="5" t="s">
        <v>270</v>
      </c>
      <c r="D81" s="5" t="s">
        <v>271</v>
      </c>
      <c r="E81" s="44">
        <v>0.065</v>
      </c>
      <c r="F81" s="25">
        <f>E81</f>
        <v>0.065</v>
      </c>
      <c r="G81" s="25">
        <f>F81*(1+G83)</f>
        <v>0.065</v>
      </c>
      <c r="H81" s="25">
        <f aca="true" t="shared" si="88" ref="H81:O81">G81*(1+H83)</f>
        <v>0.06825</v>
      </c>
      <c r="I81" s="25">
        <f t="shared" si="88"/>
        <v>0.0716625</v>
      </c>
      <c r="J81" s="25">
        <f t="shared" si="88"/>
        <v>0.07524562500000001</v>
      </c>
      <c r="K81" s="25">
        <f t="shared" si="88"/>
        <v>0.07900790625000001</v>
      </c>
      <c r="L81" s="25">
        <f t="shared" si="88"/>
        <v>0.08295830156250002</v>
      </c>
      <c r="M81" s="25">
        <f t="shared" si="88"/>
        <v>0.08710621664062503</v>
      </c>
      <c r="N81" s="25">
        <f t="shared" si="88"/>
        <v>0.09146152747265628</v>
      </c>
      <c r="O81" s="25">
        <f t="shared" si="88"/>
        <v>0.09603460384628909</v>
      </c>
      <c r="P81" s="25">
        <f>O81</f>
        <v>0.09603460384628909</v>
      </c>
      <c r="Q81" s="25">
        <f>P81</f>
        <v>0.09603460384628909</v>
      </c>
      <c r="R81" s="25">
        <f>Q81</f>
        <v>0.09603460384628909</v>
      </c>
      <c r="S81" s="25">
        <f>R81</f>
        <v>0.09603460384628909</v>
      </c>
      <c r="T81" s="25">
        <f>S81</f>
        <v>0.09603460384628909</v>
      </c>
      <c r="U81" s="25">
        <f>T81</f>
        <v>0.09603460384628909</v>
      </c>
      <c r="V81" s="25">
        <f>U81</f>
        <v>0.09603460384628909</v>
      </c>
      <c r="W81" s="25">
        <f>V81</f>
        <v>0.09603460384628909</v>
      </c>
      <c r="X81" s="25">
        <f>W81</f>
        <v>0.09603460384628909</v>
      </c>
      <c r="Y81" s="25">
        <f>X81</f>
        <v>0.09603460384628909</v>
      </c>
      <c r="Z81" s="25">
        <f>Y81</f>
        <v>0.09603460384628909</v>
      </c>
      <c r="AA81" s="25">
        <f>Z81</f>
        <v>0.09603460384628909</v>
      </c>
      <c r="AB81" s="25">
        <f>AA81</f>
        <v>0.09603460384628909</v>
      </c>
      <c r="AC81" s="25">
        <f>AB81</f>
        <v>0.09603460384628909</v>
      </c>
      <c r="AD81" s="25">
        <f>AC81</f>
        <v>0.09603460384628909</v>
      </c>
      <c r="AE81" s="25">
        <f>AD81</f>
        <v>0.09603460384628909</v>
      </c>
    </row>
    <row r="82" spans="3:31" ht="12.75">
      <c r="C82" s="20" t="s">
        <v>270</v>
      </c>
      <c r="D82" s="20" t="str">
        <f>D77</f>
        <v>Rs. Crores</v>
      </c>
      <c r="E82" s="68">
        <f aca="true" t="shared" si="89" ref="E82:AE82">E81*E31</f>
        <v>0</v>
      </c>
      <c r="F82" s="68">
        <f t="shared" si="89"/>
        <v>0</v>
      </c>
      <c r="G82" s="68">
        <f t="shared" si="89"/>
        <v>2.1823189171875</v>
      </c>
      <c r="H82" s="68">
        <f t="shared" si="89"/>
        <v>2.4441971872500003</v>
      </c>
      <c r="I82" s="68">
        <f t="shared" si="89"/>
        <v>2.7268074870257824</v>
      </c>
      <c r="J82" s="68">
        <f t="shared" si="89"/>
        <v>3.031568323811017</v>
      </c>
      <c r="K82" s="68">
        <f t="shared" si="89"/>
        <v>3.1831467400015665</v>
      </c>
      <c r="L82" s="68">
        <f t="shared" si="89"/>
        <v>3.3423040770016454</v>
      </c>
      <c r="M82" s="68">
        <f t="shared" si="89"/>
        <v>3.509419280851728</v>
      </c>
      <c r="N82" s="68">
        <f t="shared" si="89"/>
        <v>3.6848902448943144</v>
      </c>
      <c r="O82" s="68">
        <f t="shared" si="89"/>
        <v>3.86913475713903</v>
      </c>
      <c r="P82" s="68">
        <f t="shared" si="89"/>
        <v>3.86913475713903</v>
      </c>
      <c r="Q82" s="68">
        <f t="shared" si="89"/>
        <v>3.86913475713903</v>
      </c>
      <c r="R82" s="68">
        <f t="shared" si="89"/>
        <v>3.86913475713903</v>
      </c>
      <c r="S82" s="68">
        <f t="shared" si="89"/>
        <v>3.86913475713903</v>
      </c>
      <c r="T82" s="68">
        <f t="shared" si="89"/>
        <v>3.86913475713903</v>
      </c>
      <c r="U82" s="68">
        <f t="shared" si="89"/>
        <v>3.86913475713903</v>
      </c>
      <c r="V82" s="68">
        <f t="shared" si="89"/>
        <v>3.86913475713903</v>
      </c>
      <c r="W82" s="68">
        <f t="shared" si="89"/>
        <v>3.86913475713903</v>
      </c>
      <c r="X82" s="68">
        <f t="shared" si="89"/>
        <v>3.86913475713903</v>
      </c>
      <c r="Y82" s="68">
        <f t="shared" si="89"/>
        <v>3.86913475713903</v>
      </c>
      <c r="Z82" s="68">
        <f t="shared" si="89"/>
        <v>3.86913475713903</v>
      </c>
      <c r="AA82" s="68">
        <f t="shared" si="89"/>
        <v>3.86913475713903</v>
      </c>
      <c r="AB82" s="68">
        <f t="shared" si="89"/>
        <v>3.86913475713903</v>
      </c>
      <c r="AC82" s="68">
        <f t="shared" si="89"/>
        <v>3.86913475713903</v>
      </c>
      <c r="AD82" s="68">
        <f t="shared" si="89"/>
        <v>3.86913475713903</v>
      </c>
      <c r="AE82" s="68">
        <f t="shared" si="89"/>
        <v>3.86913475713903</v>
      </c>
    </row>
    <row r="83" spans="3:31" ht="12.75">
      <c r="C83" s="5" t="s">
        <v>269</v>
      </c>
      <c r="D83" s="5" t="s">
        <v>10</v>
      </c>
      <c r="E83" s="12">
        <v>0</v>
      </c>
      <c r="F83" s="25">
        <f>E83</f>
        <v>0</v>
      </c>
      <c r="G83" s="25">
        <f>F83</f>
        <v>0</v>
      </c>
      <c r="H83" s="25">
        <v>0.05</v>
      </c>
      <c r="I83" s="25">
        <f>H83</f>
        <v>0.05</v>
      </c>
      <c r="J83" s="25">
        <f>I83</f>
        <v>0.05</v>
      </c>
      <c r="K83" s="25">
        <f>J83</f>
        <v>0.05</v>
      </c>
      <c r="L83" s="25">
        <f>K83</f>
        <v>0.05</v>
      </c>
      <c r="M83" s="25">
        <f>L83</f>
        <v>0.05</v>
      </c>
      <c r="N83" s="25">
        <f>M83</f>
        <v>0.05</v>
      </c>
      <c r="O83" s="25">
        <f>N83</f>
        <v>0.05</v>
      </c>
      <c r="P83" s="25">
        <f>O83</f>
        <v>0.05</v>
      </c>
      <c r="Q83" s="25">
        <f>P83</f>
        <v>0.05</v>
      </c>
      <c r="R83" s="25">
        <f>Q83</f>
        <v>0.05</v>
      </c>
      <c r="S83" s="25">
        <f>R83</f>
        <v>0.05</v>
      </c>
      <c r="T83" s="25">
        <f>S83</f>
        <v>0.05</v>
      </c>
      <c r="U83" s="25">
        <f>T83</f>
        <v>0.05</v>
      </c>
      <c r="V83" s="25">
        <f>U83</f>
        <v>0.05</v>
      </c>
      <c r="W83" s="25">
        <f>V83</f>
        <v>0.05</v>
      </c>
      <c r="X83" s="25">
        <f>W83</f>
        <v>0.05</v>
      </c>
      <c r="Y83" s="25">
        <f>X83</f>
        <v>0.05</v>
      </c>
      <c r="Z83" s="25">
        <f>Y83</f>
        <v>0.05</v>
      </c>
      <c r="AA83" s="25">
        <f>Z83</f>
        <v>0.05</v>
      </c>
      <c r="AB83" s="25">
        <f>AA83</f>
        <v>0.05</v>
      </c>
      <c r="AC83" s="25">
        <f>AB83</f>
        <v>0.05</v>
      </c>
      <c r="AD83" s="25">
        <f>AC83</f>
        <v>0.05</v>
      </c>
      <c r="AE83" s="25">
        <f>AD83</f>
        <v>0.05</v>
      </c>
    </row>
    <row r="84" spans="3:31" ht="12.75">
      <c r="C84" s="5"/>
      <c r="D84" s="5"/>
      <c r="E84" s="5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3:31" ht="12.75">
      <c r="C85" s="67" t="s">
        <v>272</v>
      </c>
      <c r="D85" s="5"/>
      <c r="E85" s="11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3:31" ht="12.75">
      <c r="C86" s="5" t="s">
        <v>272</v>
      </c>
      <c r="D86" s="5" t="s">
        <v>271</v>
      </c>
      <c r="E86" s="44">
        <v>0.04</v>
      </c>
      <c r="F86" s="25">
        <f>E86</f>
        <v>0.04</v>
      </c>
      <c r="G86" s="25">
        <f aca="true" t="shared" si="90" ref="G86:Q86">F86</f>
        <v>0.04</v>
      </c>
      <c r="H86" s="25">
        <f t="shared" si="90"/>
        <v>0.04</v>
      </c>
      <c r="I86" s="25">
        <f t="shared" si="90"/>
        <v>0.04</v>
      </c>
      <c r="J86" s="25">
        <f t="shared" si="90"/>
        <v>0.04</v>
      </c>
      <c r="K86" s="25">
        <f t="shared" si="90"/>
        <v>0.04</v>
      </c>
      <c r="L86" s="25">
        <f t="shared" si="90"/>
        <v>0.04</v>
      </c>
      <c r="M86" s="25">
        <f t="shared" si="90"/>
        <v>0.04</v>
      </c>
      <c r="N86" s="25">
        <f t="shared" si="90"/>
        <v>0.04</v>
      </c>
      <c r="O86" s="25">
        <f t="shared" si="90"/>
        <v>0.04</v>
      </c>
      <c r="P86" s="25">
        <f t="shared" si="90"/>
        <v>0.04</v>
      </c>
      <c r="Q86" s="25">
        <f t="shared" si="90"/>
        <v>0.04</v>
      </c>
      <c r="R86" s="25">
        <f>Q86</f>
        <v>0.04</v>
      </c>
      <c r="S86" s="25">
        <f>R86</f>
        <v>0.04</v>
      </c>
      <c r="T86" s="25">
        <f>S86</f>
        <v>0.04</v>
      </c>
      <c r="U86" s="25">
        <f>T86</f>
        <v>0.04</v>
      </c>
      <c r="V86" s="25">
        <f>U86</f>
        <v>0.04</v>
      </c>
      <c r="W86" s="25">
        <f>V86</f>
        <v>0.04</v>
      </c>
      <c r="X86" s="25">
        <f>W86</f>
        <v>0.04</v>
      </c>
      <c r="Y86" s="25">
        <f>X86</f>
        <v>0.04</v>
      </c>
      <c r="Z86" s="25">
        <f>Y86</f>
        <v>0.04</v>
      </c>
      <c r="AA86" s="25">
        <f>Z86</f>
        <v>0.04</v>
      </c>
      <c r="AB86" s="25">
        <f>AA86</f>
        <v>0.04</v>
      </c>
      <c r="AC86" s="25">
        <f>AB86</f>
        <v>0.04</v>
      </c>
      <c r="AD86" s="25">
        <f>AC86</f>
        <v>0.04</v>
      </c>
      <c r="AE86" s="25">
        <f>AD86</f>
        <v>0.04</v>
      </c>
    </row>
    <row r="87" spans="3:31" ht="12.75">
      <c r="C87" s="20" t="s">
        <v>272</v>
      </c>
      <c r="D87" s="20" t="str">
        <f>D82</f>
        <v>Rs. Crores</v>
      </c>
      <c r="E87" s="68">
        <f aca="true" t="shared" si="91" ref="E87:AE87">E86*E31</f>
        <v>0</v>
      </c>
      <c r="F87" s="68">
        <f t="shared" si="91"/>
        <v>0</v>
      </c>
      <c r="G87" s="68">
        <f t="shared" si="91"/>
        <v>1.3429654875</v>
      </c>
      <c r="H87" s="68">
        <f t="shared" si="91"/>
        <v>1.43249652</v>
      </c>
      <c r="I87" s="68">
        <f t="shared" si="91"/>
        <v>1.5220275525000007</v>
      </c>
      <c r="J87" s="68">
        <f t="shared" si="91"/>
        <v>1.6115585850000005</v>
      </c>
      <c r="K87" s="68">
        <f t="shared" si="91"/>
        <v>1.611558585</v>
      </c>
      <c r="L87" s="68">
        <f t="shared" si="91"/>
        <v>1.611558585</v>
      </c>
      <c r="M87" s="68">
        <f t="shared" si="91"/>
        <v>1.611558585</v>
      </c>
      <c r="N87" s="68">
        <f t="shared" si="91"/>
        <v>1.611558585</v>
      </c>
      <c r="O87" s="68">
        <f t="shared" si="91"/>
        <v>1.611558585</v>
      </c>
      <c r="P87" s="68">
        <f t="shared" si="91"/>
        <v>1.611558585</v>
      </c>
      <c r="Q87" s="68">
        <f t="shared" si="91"/>
        <v>1.611558585</v>
      </c>
      <c r="R87" s="68">
        <f t="shared" si="91"/>
        <v>1.611558585</v>
      </c>
      <c r="S87" s="68">
        <f t="shared" si="91"/>
        <v>1.611558585</v>
      </c>
      <c r="T87" s="68">
        <f t="shared" si="91"/>
        <v>1.611558585</v>
      </c>
      <c r="U87" s="68">
        <f t="shared" si="91"/>
        <v>1.611558585</v>
      </c>
      <c r="V87" s="68">
        <f t="shared" si="91"/>
        <v>1.611558585</v>
      </c>
      <c r="W87" s="68">
        <f t="shared" si="91"/>
        <v>1.611558585</v>
      </c>
      <c r="X87" s="68">
        <f t="shared" si="91"/>
        <v>1.611558585</v>
      </c>
      <c r="Y87" s="68">
        <f t="shared" si="91"/>
        <v>1.611558585</v>
      </c>
      <c r="Z87" s="68">
        <f t="shared" si="91"/>
        <v>1.611558585</v>
      </c>
      <c r="AA87" s="68">
        <f t="shared" si="91"/>
        <v>1.611558585</v>
      </c>
      <c r="AB87" s="68">
        <f t="shared" si="91"/>
        <v>1.611558585</v>
      </c>
      <c r="AC87" s="68">
        <f t="shared" si="91"/>
        <v>1.611558585</v>
      </c>
      <c r="AD87" s="68">
        <f t="shared" si="91"/>
        <v>1.611558585</v>
      </c>
      <c r="AE87" s="68">
        <f t="shared" si="91"/>
        <v>1.611558585</v>
      </c>
    </row>
    <row r="88" spans="3:31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3:31" ht="12.75">
      <c r="C89" s="67" t="s">
        <v>398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3:31" s="1" customFormat="1" ht="12.75">
      <c r="C90" s="20" t="s">
        <v>399</v>
      </c>
      <c r="D90" s="20" t="str">
        <f>D87</f>
        <v>Rs. Crores</v>
      </c>
      <c r="E90" s="20"/>
      <c r="F90" s="20"/>
      <c r="G90" s="28">
        <v>1</v>
      </c>
      <c r="H90" s="136">
        <f>G90*(1+H91)</f>
        <v>1.03</v>
      </c>
      <c r="I90" s="136">
        <f aca="true" t="shared" si="92" ref="I90:AE90">H90*(1+I91)</f>
        <v>1.0609</v>
      </c>
      <c r="J90" s="136">
        <f t="shared" si="92"/>
        <v>1.092727</v>
      </c>
      <c r="K90" s="136">
        <f t="shared" si="92"/>
        <v>1.1255088100000001</v>
      </c>
      <c r="L90" s="136">
        <f t="shared" si="92"/>
        <v>1.1592740743</v>
      </c>
      <c r="M90" s="136">
        <f t="shared" si="92"/>
        <v>1.1940522965290001</v>
      </c>
      <c r="N90" s="136">
        <f t="shared" si="92"/>
        <v>1.2298738654248702</v>
      </c>
      <c r="O90" s="136">
        <f t="shared" si="92"/>
        <v>1.2667700813876164</v>
      </c>
      <c r="P90" s="136">
        <f t="shared" si="92"/>
        <v>1.304773183829245</v>
      </c>
      <c r="Q90" s="136">
        <f t="shared" si="92"/>
        <v>1.3439163793441222</v>
      </c>
      <c r="R90" s="136">
        <f t="shared" si="92"/>
        <v>1.384233870724446</v>
      </c>
      <c r="S90" s="136">
        <f t="shared" si="92"/>
        <v>1.4257608868461793</v>
      </c>
      <c r="T90" s="136">
        <f t="shared" si="92"/>
        <v>1.4685337134515648</v>
      </c>
      <c r="U90" s="136">
        <f t="shared" si="92"/>
        <v>1.512589724855112</v>
      </c>
      <c r="V90" s="136">
        <f t="shared" si="92"/>
        <v>1.5579674166007653</v>
      </c>
      <c r="W90" s="136">
        <f t="shared" si="92"/>
        <v>1.6047064390987884</v>
      </c>
      <c r="X90" s="136">
        <f t="shared" si="92"/>
        <v>1.652847632271752</v>
      </c>
      <c r="Y90" s="136">
        <f t="shared" si="92"/>
        <v>1.7024330612399046</v>
      </c>
      <c r="Z90" s="136">
        <f t="shared" si="92"/>
        <v>1.7535060530771018</v>
      </c>
      <c r="AA90" s="136">
        <f t="shared" si="92"/>
        <v>1.806111234669415</v>
      </c>
      <c r="AB90" s="136">
        <f t="shared" si="92"/>
        <v>1.8602945717094976</v>
      </c>
      <c r="AC90" s="136">
        <f t="shared" si="92"/>
        <v>1.9161034088607827</v>
      </c>
      <c r="AD90" s="136">
        <f t="shared" si="92"/>
        <v>1.9735865111266062</v>
      </c>
      <c r="AE90" s="136">
        <f t="shared" si="92"/>
        <v>2.0327941064604045</v>
      </c>
    </row>
    <row r="91" spans="3:31" ht="12.75">
      <c r="C91" s="5" t="s">
        <v>269</v>
      </c>
      <c r="D91" s="5" t="s">
        <v>10</v>
      </c>
      <c r="E91" s="12">
        <v>0</v>
      </c>
      <c r="F91" s="25">
        <f>E91</f>
        <v>0</v>
      </c>
      <c r="G91" s="25">
        <f>F91</f>
        <v>0</v>
      </c>
      <c r="H91" s="25">
        <v>0.03</v>
      </c>
      <c r="I91" s="25">
        <f>H91</f>
        <v>0.03</v>
      </c>
      <c r="J91" s="25">
        <f>I91</f>
        <v>0.03</v>
      </c>
      <c r="K91" s="25">
        <f>J91</f>
        <v>0.03</v>
      </c>
      <c r="L91" s="25">
        <f>K91</f>
        <v>0.03</v>
      </c>
      <c r="M91" s="25">
        <f>L91</f>
        <v>0.03</v>
      </c>
      <c r="N91" s="25">
        <f>M91</f>
        <v>0.03</v>
      </c>
      <c r="O91" s="25">
        <f>N91</f>
        <v>0.03</v>
      </c>
      <c r="P91" s="25">
        <f>O91</f>
        <v>0.03</v>
      </c>
      <c r="Q91" s="25">
        <f>P91</f>
        <v>0.03</v>
      </c>
      <c r="R91" s="25">
        <f>Q91</f>
        <v>0.03</v>
      </c>
      <c r="S91" s="25">
        <f>R91</f>
        <v>0.03</v>
      </c>
      <c r="T91" s="25">
        <f>S91</f>
        <v>0.03</v>
      </c>
      <c r="U91" s="25">
        <f>T91</f>
        <v>0.03</v>
      </c>
      <c r="V91" s="25">
        <f>U91</f>
        <v>0.03</v>
      </c>
      <c r="W91" s="25">
        <f>V91</f>
        <v>0.03</v>
      </c>
      <c r="X91" s="25">
        <f>W91</f>
        <v>0.03</v>
      </c>
      <c r="Y91" s="25">
        <f>X91</f>
        <v>0.03</v>
      </c>
      <c r="Z91" s="25">
        <f>Y91</f>
        <v>0.03</v>
      </c>
      <c r="AA91" s="25">
        <f>Z91</f>
        <v>0.03</v>
      </c>
      <c r="AB91" s="25">
        <f>AA91</f>
        <v>0.03</v>
      </c>
      <c r="AC91" s="25">
        <f>AB91</f>
        <v>0.03</v>
      </c>
      <c r="AD91" s="25">
        <f>AC91</f>
        <v>0.03</v>
      </c>
      <c r="AE91" s="25">
        <f>AD91</f>
        <v>0.03</v>
      </c>
    </row>
    <row r="94" ht="12.75">
      <c r="C94" s="1" t="s">
        <v>23</v>
      </c>
    </row>
    <row r="95" spans="7:17" ht="12.75"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3:5" ht="12.75">
      <c r="C96" s="59" t="s">
        <v>1</v>
      </c>
      <c r="D96" s="59" t="s">
        <v>2</v>
      </c>
      <c r="E96" s="59" t="s">
        <v>24</v>
      </c>
    </row>
    <row r="97" spans="3:5" ht="12.75">
      <c r="C97" s="5" t="s">
        <v>26</v>
      </c>
      <c r="D97" s="5" t="s">
        <v>27</v>
      </c>
      <c r="E97" s="32">
        <f>85/15</f>
        <v>5.666666666666667</v>
      </c>
    </row>
    <row r="98" spans="3:5" ht="12.75">
      <c r="C98" s="5" t="s">
        <v>34</v>
      </c>
      <c r="D98" s="5" t="s">
        <v>10</v>
      </c>
      <c r="E98" s="41">
        <v>0.14</v>
      </c>
    </row>
    <row r="99" spans="3:5" ht="12.75">
      <c r="C99" s="5" t="s">
        <v>35</v>
      </c>
      <c r="D99" s="5" t="s">
        <v>10</v>
      </c>
      <c r="E99" s="41">
        <f>10.5%+E159</f>
        <v>0.105</v>
      </c>
    </row>
    <row r="100" spans="3:5" ht="12.75">
      <c r="C100" s="5" t="s">
        <v>36</v>
      </c>
      <c r="D100" s="5" t="s">
        <v>10</v>
      </c>
      <c r="E100" s="41">
        <f>10.5%+E159</f>
        <v>0.105</v>
      </c>
    </row>
    <row r="101" spans="3:5" ht="12.75">
      <c r="C101" s="5" t="s">
        <v>37</v>
      </c>
      <c r="D101" s="5" t="s">
        <v>10</v>
      </c>
      <c r="E101" s="44">
        <f>'P&amp;L'!D36</f>
        <v>0.21099670598980527</v>
      </c>
    </row>
    <row r="102" spans="3:5" ht="12.75">
      <c r="C102" s="5" t="s">
        <v>38</v>
      </c>
      <c r="D102" s="5" t="s">
        <v>10</v>
      </c>
      <c r="E102" s="44">
        <f>18.5%*1.125*1.03</f>
        <v>0.21436875</v>
      </c>
    </row>
    <row r="103" spans="3:5" ht="12.75">
      <c r="C103" s="26" t="s">
        <v>288</v>
      </c>
      <c r="D103" s="24" t="s">
        <v>10</v>
      </c>
      <c r="E103" s="79">
        <f>(E98*1/(1+E97))+(E99*(1-E101)*E97/(1+E97))</f>
        <v>0.09141854399040988</v>
      </c>
    </row>
    <row r="104" spans="3:5" s="126" customFormat="1" ht="12.75">
      <c r="C104" s="123" t="s">
        <v>340</v>
      </c>
      <c r="D104" s="124" t="s">
        <v>341</v>
      </c>
      <c r="E104" s="125">
        <v>44835</v>
      </c>
    </row>
    <row r="105" spans="3:5" ht="12.75">
      <c r="C105" s="5" t="s">
        <v>342</v>
      </c>
      <c r="D105" s="5" t="s">
        <v>343</v>
      </c>
      <c r="E105" s="11">
        <v>12</v>
      </c>
    </row>
    <row r="106" spans="3:5" ht="12.75">
      <c r="C106" s="5" t="s">
        <v>342</v>
      </c>
      <c r="D106" s="5" t="s">
        <v>228</v>
      </c>
      <c r="E106" s="11">
        <f>E105*4</f>
        <v>48</v>
      </c>
    </row>
    <row r="107" spans="3:5" ht="12.75">
      <c r="C107" s="5" t="s">
        <v>344</v>
      </c>
      <c r="D107" s="5" t="str">
        <f>D106</f>
        <v>Quarters</v>
      </c>
      <c r="E107" s="11">
        <v>7</v>
      </c>
    </row>
    <row r="108" spans="3:5" ht="12.75">
      <c r="C108" s="5" t="s">
        <v>345</v>
      </c>
      <c r="D108" s="5" t="str">
        <f>D107</f>
        <v>Quarters</v>
      </c>
      <c r="E108" s="11">
        <v>2</v>
      </c>
    </row>
    <row r="109" spans="3:5" ht="12.75">
      <c r="C109" s="5" t="s">
        <v>346</v>
      </c>
      <c r="D109" s="5" t="str">
        <f>D108</f>
        <v>Quarters</v>
      </c>
      <c r="E109" s="11">
        <f>E106-E107-E108</f>
        <v>39</v>
      </c>
    </row>
    <row r="110" spans="3:5" ht="12.75">
      <c r="C110" s="5"/>
      <c r="D110" s="5"/>
      <c r="E110" s="11"/>
    </row>
    <row r="111" spans="3:5" ht="12.75">
      <c r="C111" s="20" t="s">
        <v>40</v>
      </c>
      <c r="D111" s="5"/>
      <c r="E111" s="5"/>
    </row>
    <row r="112" spans="3:5" s="1" customFormat="1" ht="12.75">
      <c r="C112" s="24" t="s">
        <v>281</v>
      </c>
      <c r="D112" s="24" t="s">
        <v>6</v>
      </c>
      <c r="E112" s="24">
        <v>30</v>
      </c>
    </row>
    <row r="113" spans="3:5" ht="12.75">
      <c r="C113" s="26" t="s">
        <v>33</v>
      </c>
      <c r="D113" s="26" t="s">
        <v>6</v>
      </c>
      <c r="E113" s="24">
        <v>30</v>
      </c>
    </row>
    <row r="114" spans="3:6" ht="12.75">
      <c r="C114" s="11" t="s">
        <v>41</v>
      </c>
      <c r="D114" s="11" t="s">
        <v>10</v>
      </c>
      <c r="E114" s="6">
        <v>0.15</v>
      </c>
      <c r="F114" t="s">
        <v>33</v>
      </c>
    </row>
    <row r="115" spans="3:5" ht="12.75">
      <c r="C115" s="11" t="s">
        <v>42</v>
      </c>
      <c r="D115" s="5" t="s">
        <v>6</v>
      </c>
      <c r="E115" s="5">
        <v>30</v>
      </c>
    </row>
    <row r="116" spans="3:5" ht="12.75">
      <c r="C116" s="11" t="s">
        <v>98</v>
      </c>
      <c r="D116" s="5" t="s">
        <v>6</v>
      </c>
      <c r="E116" s="5">
        <v>30</v>
      </c>
    </row>
    <row r="117" spans="3:5" ht="12.75">
      <c r="C117" s="11" t="s">
        <v>101</v>
      </c>
      <c r="D117" s="5" t="s">
        <v>10</v>
      </c>
      <c r="E117" s="6">
        <v>0.25</v>
      </c>
    </row>
    <row r="118" spans="3:5" ht="12.75">
      <c r="C118" s="5"/>
      <c r="D118" s="5"/>
      <c r="E118" s="5"/>
    </row>
    <row r="119" spans="3:5" ht="12.75">
      <c r="C119" s="20" t="s">
        <v>46</v>
      </c>
      <c r="D119" s="5"/>
      <c r="E119" s="5"/>
    </row>
    <row r="120" spans="3:5" ht="12.75">
      <c r="C120" s="5" t="s">
        <v>203</v>
      </c>
      <c r="D120" s="5" t="s">
        <v>10</v>
      </c>
      <c r="E120" s="27">
        <v>0</v>
      </c>
    </row>
    <row r="121" spans="3:5" ht="12.75">
      <c r="C121" s="5" t="s">
        <v>43</v>
      </c>
      <c r="D121" s="5" t="s">
        <v>10</v>
      </c>
      <c r="E121" s="27">
        <f>1/25</f>
        <v>0.04</v>
      </c>
    </row>
    <row r="122" spans="3:5" ht="12.75">
      <c r="C122" s="5" t="s">
        <v>44</v>
      </c>
      <c r="D122" s="5" t="s">
        <v>10</v>
      </c>
      <c r="E122" s="27">
        <f>1/25</f>
        <v>0.04</v>
      </c>
    </row>
    <row r="123" spans="3:5" ht="12.75">
      <c r="C123" s="5" t="s">
        <v>45</v>
      </c>
      <c r="D123" s="5" t="s">
        <v>10</v>
      </c>
      <c r="E123" s="27">
        <f>1/25</f>
        <v>0.04</v>
      </c>
    </row>
    <row r="124" spans="3:5" ht="12.75">
      <c r="C124" s="20" t="s">
        <v>47</v>
      </c>
      <c r="D124" s="5"/>
      <c r="E124" s="5"/>
    </row>
    <row r="125" spans="3:5" ht="12.75">
      <c r="C125" s="5" t="s">
        <v>203</v>
      </c>
      <c r="D125" s="5" t="s">
        <v>10</v>
      </c>
      <c r="E125" s="27">
        <v>0</v>
      </c>
    </row>
    <row r="126" spans="3:5" ht="12.75">
      <c r="C126" s="5" t="s">
        <v>43</v>
      </c>
      <c r="D126" s="5" t="s">
        <v>10</v>
      </c>
      <c r="E126" s="27">
        <v>0.1</v>
      </c>
    </row>
    <row r="127" spans="3:5" ht="12.75">
      <c r="C127" s="5" t="s">
        <v>44</v>
      </c>
      <c r="D127" s="5" t="s">
        <v>10</v>
      </c>
      <c r="E127" s="27">
        <v>0.15</v>
      </c>
    </row>
    <row r="128" spans="3:6" ht="12.75">
      <c r="C128" s="5" t="s">
        <v>45</v>
      </c>
      <c r="D128" s="5" t="s">
        <v>10</v>
      </c>
      <c r="E128" s="44">
        <v>0.15</v>
      </c>
      <c r="F128" s="15"/>
    </row>
    <row r="129" spans="3:6" ht="12.75">
      <c r="C129" s="5"/>
      <c r="D129" s="5"/>
      <c r="E129" s="11"/>
      <c r="F129" s="15"/>
    </row>
    <row r="130" spans="3:6" ht="12.75">
      <c r="C130" s="5" t="s">
        <v>51</v>
      </c>
      <c r="D130" s="5" t="s">
        <v>10</v>
      </c>
      <c r="E130" s="41">
        <v>0.05</v>
      </c>
      <c r="F130" s="15"/>
    </row>
    <row r="131" spans="3:6" ht="12.75">
      <c r="C131" s="5" t="s">
        <v>25</v>
      </c>
      <c r="D131" s="5"/>
      <c r="E131" s="40">
        <v>10000000</v>
      </c>
      <c r="F131" s="15"/>
    </row>
    <row r="132" spans="5:6" ht="12.75">
      <c r="E132" s="15"/>
      <c r="F132" s="15"/>
    </row>
    <row r="133" ht="12.75">
      <c r="C133" s="1" t="s">
        <v>50</v>
      </c>
    </row>
    <row r="135" spans="3:5" ht="12.75">
      <c r="C135" s="59" t="s">
        <v>1</v>
      </c>
      <c r="D135" s="59" t="s">
        <v>2</v>
      </c>
      <c r="E135" s="59" t="s">
        <v>24</v>
      </c>
    </row>
    <row r="136" spans="3:5" ht="12.75">
      <c r="C136" s="5" t="s">
        <v>203</v>
      </c>
      <c r="D136" s="5" t="s">
        <v>22</v>
      </c>
      <c r="E136" s="14">
        <f>PC!G8</f>
        <v>2.658897035714206</v>
      </c>
    </row>
    <row r="137" spans="3:5" ht="12.75">
      <c r="C137" s="5" t="s">
        <v>43</v>
      </c>
      <c r="D137" s="5" t="str">
        <f>D136</f>
        <v>Rs. Crores</v>
      </c>
      <c r="E137" s="14">
        <f>PC!G28*(1+$E$158)</f>
        <v>10.69847</v>
      </c>
    </row>
    <row r="138" spans="3:5" ht="12.75">
      <c r="C138" s="5" t="s">
        <v>44</v>
      </c>
      <c r="D138" s="5" t="str">
        <f>D137</f>
        <v>Rs. Crores</v>
      </c>
      <c r="E138" s="14">
        <f>PC!H40*(1+Input!$E$158)</f>
        <v>37.915324999999996</v>
      </c>
    </row>
    <row r="139" spans="3:5" ht="12.75">
      <c r="C139" s="5" t="s">
        <v>45</v>
      </c>
      <c r="D139" s="5" t="str">
        <f>D138</f>
        <v>Rs. Crores</v>
      </c>
      <c r="E139" s="14">
        <f>PC!G49*(1+Input!$E$158)</f>
        <v>1.968729875</v>
      </c>
    </row>
    <row r="140" spans="3:5" ht="12.75">
      <c r="C140" s="11" t="s">
        <v>52</v>
      </c>
      <c r="D140" s="5" t="str">
        <f>D139</f>
        <v>Rs. Crores</v>
      </c>
      <c r="E140" s="14">
        <f>PC!G60</f>
        <v>5.571670428447823</v>
      </c>
    </row>
    <row r="141" spans="3:5" ht="12.75">
      <c r="C141" s="16" t="s">
        <v>49</v>
      </c>
      <c r="D141" s="20" t="str">
        <f>D140</f>
        <v>Rs. Crores</v>
      </c>
      <c r="E141" s="21">
        <f>SUM(E136:E140)</f>
        <v>58.813092339162026</v>
      </c>
    </row>
    <row r="142" ht="12.75">
      <c r="C142" s="1" t="s">
        <v>53</v>
      </c>
    </row>
    <row r="144" spans="3:17" ht="12.75">
      <c r="C144" s="59" t="s">
        <v>1</v>
      </c>
      <c r="D144" s="59" t="s">
        <v>2</v>
      </c>
      <c r="E144" s="60">
        <f aca="true" t="shared" si="93" ref="E144:Q144">E35</f>
        <v>44651</v>
      </c>
      <c r="F144" s="60">
        <f t="shared" si="93"/>
        <v>45016</v>
      </c>
      <c r="G144" s="60">
        <f t="shared" si="93"/>
        <v>45382</v>
      </c>
      <c r="H144" s="60">
        <f t="shared" si="93"/>
        <v>45747</v>
      </c>
      <c r="I144" s="60">
        <f t="shared" si="93"/>
        <v>46112</v>
      </c>
      <c r="J144" s="60">
        <f t="shared" si="93"/>
        <v>46477</v>
      </c>
      <c r="K144" s="60">
        <f t="shared" si="93"/>
        <v>46843</v>
      </c>
      <c r="L144" s="60">
        <f t="shared" si="93"/>
        <v>47208</v>
      </c>
      <c r="M144" s="60">
        <f t="shared" si="93"/>
        <v>47573</v>
      </c>
      <c r="N144" s="60">
        <f t="shared" si="93"/>
        <v>47938</v>
      </c>
      <c r="O144" s="60">
        <f t="shared" si="93"/>
        <v>48304</v>
      </c>
      <c r="P144" s="60">
        <f t="shared" si="93"/>
        <v>48669</v>
      </c>
      <c r="Q144" s="60">
        <f t="shared" si="93"/>
        <v>49034</v>
      </c>
    </row>
    <row r="145" spans="3:17" ht="12.75">
      <c r="C145" s="5" t="s">
        <v>203</v>
      </c>
      <c r="D145" s="5" t="s">
        <v>10</v>
      </c>
      <c r="E145" s="39">
        <v>1</v>
      </c>
      <c r="F145" s="39">
        <f>100%-E145</f>
        <v>0</v>
      </c>
      <c r="G145" s="39">
        <f>100%-SUM(E145:F145)</f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 ht="12.75">
      <c r="C146" s="5" t="s">
        <v>43</v>
      </c>
      <c r="D146" s="5" t="s">
        <v>10</v>
      </c>
      <c r="E146" s="39">
        <v>0.15</v>
      </c>
      <c r="F146" s="39">
        <v>0.6</v>
      </c>
      <c r="G146" s="39">
        <f>100%-SUM(E146:F146)</f>
        <v>0.25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 ht="12.75">
      <c r="C147" s="5" t="s">
        <v>44</v>
      </c>
      <c r="D147" s="5" t="s">
        <v>10</v>
      </c>
      <c r="E147" s="39">
        <v>0.3</v>
      </c>
      <c r="F147" s="39">
        <v>0.6</v>
      </c>
      <c r="G147" s="39">
        <f>100%-SUM(E147:F147)</f>
        <v>0.10000000000000009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 ht="12.75">
      <c r="C148" s="5" t="s">
        <v>45</v>
      </c>
      <c r="D148" s="5" t="s">
        <v>10</v>
      </c>
      <c r="E148" s="39">
        <v>0.05</v>
      </c>
      <c r="F148" s="39">
        <v>0.7</v>
      </c>
      <c r="G148" s="39">
        <f>100%-SUM(E148:F148)</f>
        <v>0.25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 ht="12.75">
      <c r="C149" s="11" t="s">
        <v>52</v>
      </c>
      <c r="D149" s="5" t="s">
        <v>10</v>
      </c>
      <c r="E149" s="39">
        <v>0.3</v>
      </c>
      <c r="F149" s="39">
        <v>0.4</v>
      </c>
      <c r="G149" s="39">
        <f>100%-SUM(E149:F149)</f>
        <v>0.30000000000000004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1" spans="3:10" ht="12.75">
      <c r="C151" s="1" t="s">
        <v>58</v>
      </c>
      <c r="G151" s="96"/>
      <c r="H151" s="96"/>
      <c r="I151" s="96"/>
      <c r="J151" s="96">
        <f>Capex!H20</f>
        <v>0</v>
      </c>
    </row>
    <row r="152" spans="7:9" ht="12.75">
      <c r="G152" s="101"/>
      <c r="H152" s="101"/>
      <c r="I152" s="101"/>
    </row>
    <row r="153" spans="3:9" ht="12.75">
      <c r="C153" s="59" t="s">
        <v>1</v>
      </c>
      <c r="D153" s="59" t="s">
        <v>2</v>
      </c>
      <c r="E153" s="59" t="s">
        <v>24</v>
      </c>
      <c r="G153" s="58"/>
      <c r="H153" s="58"/>
      <c r="I153" s="58"/>
    </row>
    <row r="154" spans="3:9" ht="12.75">
      <c r="C154" s="5" t="s">
        <v>290</v>
      </c>
      <c r="D154" s="5" t="s">
        <v>10</v>
      </c>
      <c r="E154" s="6">
        <f>Conclusion!J8</f>
        <v>0</v>
      </c>
      <c r="G154" s="57"/>
      <c r="H154" s="57"/>
      <c r="I154" s="57"/>
    </row>
    <row r="155" spans="3:9" ht="12.75">
      <c r="C155" s="5" t="s">
        <v>292</v>
      </c>
      <c r="D155" s="5" t="s">
        <v>10</v>
      </c>
      <c r="E155" s="6">
        <f>Conclusion!J9</f>
        <v>0</v>
      </c>
      <c r="G155" s="57"/>
      <c r="H155" s="57"/>
      <c r="I155" s="57"/>
    </row>
    <row r="156" spans="3:9" ht="12.75">
      <c r="C156" s="5" t="s">
        <v>59</v>
      </c>
      <c r="D156" s="5" t="s">
        <v>10</v>
      </c>
      <c r="E156" s="6">
        <f>Conclusion!J10</f>
        <v>0</v>
      </c>
      <c r="G156" s="57"/>
      <c r="H156" s="57"/>
      <c r="I156" s="57"/>
    </row>
    <row r="157" spans="3:5" ht="12.75">
      <c r="C157" s="5" t="s">
        <v>291</v>
      </c>
      <c r="D157" s="5" t="s">
        <v>10</v>
      </c>
      <c r="E157" s="6">
        <f>Conclusion!J11</f>
        <v>0</v>
      </c>
    </row>
    <row r="158" spans="3:5" ht="12.75">
      <c r="C158" s="5" t="s">
        <v>60</v>
      </c>
      <c r="D158" s="5" t="s">
        <v>10</v>
      </c>
      <c r="E158" s="6">
        <f>Conclusion!J12</f>
        <v>0</v>
      </c>
    </row>
    <row r="159" spans="3:5" ht="12.75">
      <c r="C159" s="5" t="s">
        <v>61</v>
      </c>
      <c r="D159" s="5" t="s">
        <v>10</v>
      </c>
      <c r="E159" s="6">
        <f>Conclusion!J13</f>
        <v>0</v>
      </c>
    </row>
    <row r="161" ht="12.75">
      <c r="C161" s="1" t="s">
        <v>347</v>
      </c>
    </row>
    <row r="163" spans="3:7" ht="12.75">
      <c r="C163" s="133" t="s">
        <v>1</v>
      </c>
      <c r="D163" s="133" t="s">
        <v>2</v>
      </c>
      <c r="E163" s="133" t="s">
        <v>24</v>
      </c>
      <c r="F163" s="133" t="s">
        <v>2</v>
      </c>
      <c r="G163" s="133" t="s">
        <v>24</v>
      </c>
    </row>
    <row r="164" spans="3:7" ht="12.75">
      <c r="C164" s="20" t="s">
        <v>354</v>
      </c>
      <c r="D164" s="5"/>
      <c r="E164" s="5"/>
      <c r="F164" s="5"/>
      <c r="G164" s="5"/>
    </row>
    <row r="165" spans="3:11" ht="12.75">
      <c r="C165" s="5" t="s">
        <v>349</v>
      </c>
      <c r="D165" s="5" t="s">
        <v>348</v>
      </c>
      <c r="E165" s="5">
        <v>1</v>
      </c>
      <c r="F165" s="5" t="s">
        <v>361</v>
      </c>
      <c r="G165" s="5">
        <f>I165</f>
        <v>75000</v>
      </c>
      <c r="I165">
        <v>75000</v>
      </c>
      <c r="J165">
        <f>I165*E165</f>
        <v>75000</v>
      </c>
      <c r="K165">
        <f>J165*12</f>
        <v>900000</v>
      </c>
    </row>
    <row r="166" spans="3:11" ht="12.75">
      <c r="C166" s="5" t="s">
        <v>350</v>
      </c>
      <c r="D166" s="5" t="str">
        <f>D165</f>
        <v>Nos.</v>
      </c>
      <c r="E166" s="5">
        <v>4</v>
      </c>
      <c r="F166" s="5" t="str">
        <f>F165</f>
        <v>Rs./ Month</v>
      </c>
      <c r="G166" s="5">
        <f>I166</f>
        <v>65000</v>
      </c>
      <c r="I166">
        <v>65000</v>
      </c>
      <c r="J166">
        <f>I166*E166</f>
        <v>260000</v>
      </c>
      <c r="K166">
        <f aca="true" t="shared" si="94" ref="K166:K174">J166*12</f>
        <v>3120000</v>
      </c>
    </row>
    <row r="167" spans="3:11" ht="12.75">
      <c r="C167" s="5" t="s">
        <v>351</v>
      </c>
      <c r="D167" s="5" t="str">
        <f aca="true" t="shared" si="95" ref="D167:F169">D166</f>
        <v>Nos.</v>
      </c>
      <c r="E167" s="5">
        <v>6</v>
      </c>
      <c r="F167" s="5" t="str">
        <f t="shared" si="95"/>
        <v>Rs./ Month</v>
      </c>
      <c r="G167" s="5">
        <f>I167</f>
        <v>45000</v>
      </c>
      <c r="I167">
        <v>45000</v>
      </c>
      <c r="J167">
        <f>I167*E167</f>
        <v>270000</v>
      </c>
      <c r="K167">
        <f t="shared" si="94"/>
        <v>3240000</v>
      </c>
    </row>
    <row r="168" spans="3:11" ht="12.75">
      <c r="C168" s="5" t="s">
        <v>352</v>
      </c>
      <c r="D168" s="5" t="str">
        <f t="shared" si="95"/>
        <v>Nos.</v>
      </c>
      <c r="E168" s="5">
        <v>10</v>
      </c>
      <c r="F168" s="5" t="str">
        <f t="shared" si="95"/>
        <v>Rs./ Month</v>
      </c>
      <c r="G168" s="5">
        <v>20000</v>
      </c>
      <c r="I168">
        <v>25000</v>
      </c>
      <c r="J168">
        <f>I168*E168</f>
        <v>250000</v>
      </c>
      <c r="K168">
        <f t="shared" si="94"/>
        <v>3000000</v>
      </c>
    </row>
    <row r="169" spans="3:11" ht="12.75">
      <c r="C169" s="5" t="s">
        <v>353</v>
      </c>
      <c r="D169" s="5" t="str">
        <f t="shared" si="95"/>
        <v>Nos.</v>
      </c>
      <c r="E169" s="5">
        <v>10</v>
      </c>
      <c r="F169" s="5" t="str">
        <f t="shared" si="95"/>
        <v>Rs./ Month</v>
      </c>
      <c r="G169" s="5">
        <f>I169</f>
        <v>10500</v>
      </c>
      <c r="I169">
        <v>10500</v>
      </c>
      <c r="J169">
        <f>I169*E169</f>
        <v>105000</v>
      </c>
      <c r="K169">
        <f t="shared" si="94"/>
        <v>1260000</v>
      </c>
    </row>
    <row r="170" spans="3:7" ht="12.75">
      <c r="C170" s="20" t="s">
        <v>355</v>
      </c>
      <c r="D170" s="5"/>
      <c r="E170" s="5"/>
      <c r="F170" s="5"/>
      <c r="G170" s="5"/>
    </row>
    <row r="171" spans="3:11" ht="12.75">
      <c r="C171" s="5" t="s">
        <v>356</v>
      </c>
      <c r="D171" s="5" t="str">
        <f>D169</f>
        <v>Nos.</v>
      </c>
      <c r="E171" s="5">
        <v>8</v>
      </c>
      <c r="F171" s="5" t="str">
        <f>F169</f>
        <v>Rs./ Month</v>
      </c>
      <c r="G171" s="5">
        <f>I171</f>
        <v>25000</v>
      </c>
      <c r="I171">
        <v>25000</v>
      </c>
      <c r="J171">
        <f>I171*E171</f>
        <v>200000</v>
      </c>
      <c r="K171">
        <f t="shared" si="94"/>
        <v>2400000</v>
      </c>
    </row>
    <row r="172" spans="3:11" ht="12.75">
      <c r="C172" s="5" t="s">
        <v>357</v>
      </c>
      <c r="D172" s="5" t="str">
        <f>D171</f>
        <v>Nos.</v>
      </c>
      <c r="E172" s="5">
        <v>12</v>
      </c>
      <c r="F172" s="5" t="str">
        <f>F171</f>
        <v>Rs./ Month</v>
      </c>
      <c r="G172" s="5">
        <f>I172</f>
        <v>18000</v>
      </c>
      <c r="I172">
        <v>18000</v>
      </c>
      <c r="J172">
        <f>I172*E172</f>
        <v>216000</v>
      </c>
      <c r="K172">
        <f t="shared" si="94"/>
        <v>2592000</v>
      </c>
    </row>
    <row r="173" spans="3:11" ht="12.75">
      <c r="C173" s="5" t="s">
        <v>358</v>
      </c>
      <c r="D173" s="5" t="str">
        <f aca="true" t="shared" si="96" ref="D173:F174">D172</f>
        <v>Nos.</v>
      </c>
      <c r="E173" s="5">
        <v>24</v>
      </c>
      <c r="F173" s="5" t="str">
        <f t="shared" si="96"/>
        <v>Rs./ Month</v>
      </c>
      <c r="G173" s="5">
        <f>I173</f>
        <v>14500</v>
      </c>
      <c r="I173">
        <v>14500</v>
      </c>
      <c r="J173">
        <f>I173*E173</f>
        <v>348000</v>
      </c>
      <c r="K173">
        <f t="shared" si="94"/>
        <v>4176000</v>
      </c>
    </row>
    <row r="174" spans="3:11" ht="12.75">
      <c r="C174" s="11" t="s">
        <v>359</v>
      </c>
      <c r="D174" s="5" t="str">
        <f t="shared" si="96"/>
        <v>Nos.</v>
      </c>
      <c r="E174" s="11">
        <v>20</v>
      </c>
      <c r="F174" s="5" t="str">
        <f t="shared" si="96"/>
        <v>Rs./ Month</v>
      </c>
      <c r="G174" s="5">
        <f>I174</f>
        <v>10500</v>
      </c>
      <c r="I174">
        <v>10500</v>
      </c>
      <c r="J174">
        <f>I174*E174</f>
        <v>210000</v>
      </c>
      <c r="K174">
        <f t="shared" si="94"/>
        <v>2520000</v>
      </c>
    </row>
    <row r="175" spans="3:11" ht="12.75">
      <c r="C175" s="20" t="s">
        <v>360</v>
      </c>
      <c r="D175" s="20" t="str">
        <f>D174</f>
        <v>Nos.</v>
      </c>
      <c r="E175" s="20">
        <f>SUM(E165:E174)</f>
        <v>95</v>
      </c>
      <c r="F175" s="20"/>
      <c r="G175" s="5"/>
      <c r="K175">
        <f>SUM(K165:K174)/cr</f>
        <v>2.3208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E26"/>
  <sheetViews>
    <sheetView zoomScalePageLayoutView="0" workbookViewId="0" topLeftCell="A1">
      <pane ySplit="4" topLeftCell="A13" activePane="bottomLeft" state="frozen"/>
      <selection pane="topLeft" activeCell="A1" sqref="A1"/>
      <selection pane="bottomLeft" activeCell="X33" sqref="X33"/>
    </sheetView>
  </sheetViews>
  <sheetFormatPr defaultColWidth="9.140625" defaultRowHeight="12.75"/>
  <cols>
    <col min="3" max="3" width="30.00390625" style="0" customWidth="1"/>
    <col min="4" max="4" width="10.140625" style="0" bestFit="1" customWidth="1"/>
    <col min="5" max="6" width="9.57421875" style="0" customWidth="1"/>
    <col min="7" max="14" width="9.57421875" style="0" bestFit="1" customWidth="1"/>
    <col min="15" max="31" width="9.57421875" style="0" customWidth="1"/>
  </cols>
  <sheetData>
    <row r="2" ht="12.75">
      <c r="C2" s="1" t="s">
        <v>123</v>
      </c>
    </row>
    <row r="4" spans="3:31" ht="12.75">
      <c r="C4" s="59" t="s">
        <v>1</v>
      </c>
      <c r="D4" s="59" t="s">
        <v>2</v>
      </c>
      <c r="E4" s="60">
        <f>'BS'!E4</f>
        <v>44651</v>
      </c>
      <c r="F4" s="60">
        <f>'BS'!F4</f>
        <v>45016</v>
      </c>
      <c r="G4" s="60">
        <f>'BS'!G4</f>
        <v>45382</v>
      </c>
      <c r="H4" s="60">
        <f>'BS'!H4</f>
        <v>45747</v>
      </c>
      <c r="I4" s="60">
        <f>'BS'!I4</f>
        <v>46112</v>
      </c>
      <c r="J4" s="60">
        <f>'BS'!J4</f>
        <v>46477</v>
      </c>
      <c r="K4" s="60">
        <f>'BS'!K4</f>
        <v>46843</v>
      </c>
      <c r="L4" s="60">
        <f>'BS'!L4</f>
        <v>47208</v>
      </c>
      <c r="M4" s="60">
        <f>'BS'!M4</f>
        <v>47573</v>
      </c>
      <c r="N4" s="60">
        <f>'BS'!N4</f>
        <v>47938</v>
      </c>
      <c r="O4" s="60">
        <f>'BS'!O4</f>
        <v>48304</v>
      </c>
      <c r="P4" s="60">
        <f>'BS'!P4</f>
        <v>48669</v>
      </c>
      <c r="Q4" s="60">
        <f>'BS'!Q4</f>
        <v>49034</v>
      </c>
      <c r="R4" s="60">
        <f>'BS'!R4</f>
        <v>49399</v>
      </c>
      <c r="S4" s="60">
        <f>'BS'!S4</f>
        <v>49765</v>
      </c>
      <c r="T4" s="60">
        <f>'BS'!T4</f>
        <v>50130</v>
      </c>
      <c r="U4" s="60">
        <f>'BS'!U4</f>
        <v>50495</v>
      </c>
      <c r="V4" s="60">
        <f>'BS'!V4</f>
        <v>50860</v>
      </c>
      <c r="W4" s="60">
        <f>'BS'!W4</f>
        <v>51226</v>
      </c>
      <c r="X4" s="60">
        <f>'BS'!X4</f>
        <v>51591</v>
      </c>
      <c r="Y4" s="60">
        <f>'BS'!Y4</f>
        <v>51956</v>
      </c>
      <c r="Z4" s="60">
        <f>'BS'!Z4</f>
        <v>52321</v>
      </c>
      <c r="AA4" s="60">
        <f>'BS'!AA4</f>
        <v>52687</v>
      </c>
      <c r="AB4" s="60">
        <f>'BS'!AB4</f>
        <v>53052</v>
      </c>
      <c r="AC4" s="60">
        <f>'BS'!AC4</f>
        <v>53417</v>
      </c>
      <c r="AD4" s="60">
        <f>'BS'!AD4</f>
        <v>53782</v>
      </c>
      <c r="AE4" s="60">
        <f>'BS'!AE4</f>
        <v>54148</v>
      </c>
    </row>
    <row r="5" spans="3:31" ht="12.75">
      <c r="C5" s="139" t="s">
        <v>105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3:31" ht="12.75">
      <c r="C6" s="5" t="s">
        <v>124</v>
      </c>
      <c r="D6" s="5" t="str">
        <f>'BS'!D6</f>
        <v>Rs. Crores</v>
      </c>
      <c r="E6" s="14">
        <f>'P&amp;L'!E30</f>
        <v>0</v>
      </c>
      <c r="F6" s="14">
        <f>'P&amp;L'!F30</f>
        <v>0</v>
      </c>
      <c r="G6" s="14">
        <f>'P&amp;L'!G30</f>
        <v>5.855288333721521</v>
      </c>
      <c r="H6" s="14">
        <f>'P&amp;L'!H30</f>
        <v>4.603459543266244</v>
      </c>
      <c r="I6" s="14">
        <f>'P&amp;L'!I30</f>
        <v>5.757117854659246</v>
      </c>
      <c r="J6" s="14">
        <f>'P&amp;L'!J30</f>
        <v>6.764662727406638</v>
      </c>
      <c r="K6" s="14">
        <f>'P&amp;L'!K30</f>
        <v>7.077929244627166</v>
      </c>
      <c r="L6" s="14">
        <f>'P&amp;L'!L30</f>
        <v>7.383360028452249</v>
      </c>
      <c r="M6" s="14">
        <f>'P&amp;L'!M30</f>
        <v>7.459772453283538</v>
      </c>
      <c r="N6" s="14">
        <f>'P&amp;L'!N30</f>
        <v>7.745587283334297</v>
      </c>
      <c r="O6" s="14">
        <f>'P&amp;L'!O30</f>
        <v>7.898326475812436</v>
      </c>
      <c r="P6" s="14">
        <f>'P&amp;L'!P30</f>
        <v>7.319114080998126</v>
      </c>
      <c r="Q6" s="14">
        <f>'P&amp;L'!Q30</f>
        <v>7.717724473262759</v>
      </c>
      <c r="R6" s="14">
        <f>'P&amp;L'!R30</f>
        <v>7.657415314021347</v>
      </c>
      <c r="S6" s="14">
        <f>'P&amp;L'!S30</f>
        <v>7.227628670345931</v>
      </c>
      <c r="T6" s="14">
        <f>'P&amp;L'!T30</f>
        <v>7.1966711176562335</v>
      </c>
      <c r="U6" s="14">
        <f>'P&amp;L'!U30</f>
        <v>7.0279394724204725</v>
      </c>
      <c r="V6" s="14">
        <f>'P&amp;L'!V30</f>
        <v>6.844918729024405</v>
      </c>
      <c r="W6" s="14">
        <f>'P&amp;L'!W30</f>
        <v>6.765791028674295</v>
      </c>
      <c r="X6" s="14">
        <f>'P&amp;L'!X30</f>
        <v>6.597271636687653</v>
      </c>
      <c r="Y6" s="14">
        <f>'P&amp;L'!Y30</f>
        <v>5.984446955942505</v>
      </c>
      <c r="Z6" s="14">
        <f>'P&amp;L'!Z30</f>
        <v>6.028441833027709</v>
      </c>
      <c r="AA6" s="14">
        <f>'P&amp;L'!AA30</f>
        <v>5.842587547018779</v>
      </c>
      <c r="AB6" s="14">
        <f>'P&amp;L'!AB30</f>
        <v>5.494939576057433</v>
      </c>
      <c r="AC6" s="14">
        <f>'P&amp;L'!AC30</f>
        <v>5.402558165943457</v>
      </c>
      <c r="AD6" s="14">
        <f>'P&amp;L'!AD30</f>
        <v>5.196456216758077</v>
      </c>
      <c r="AE6" s="14">
        <f>'P&amp;L'!AE30</f>
        <v>5.02700251248509</v>
      </c>
    </row>
    <row r="7" spans="3:31" ht="12.75">
      <c r="C7" s="5" t="s">
        <v>76</v>
      </c>
      <c r="D7" s="5" t="str">
        <f>D6</f>
        <v>Rs. Crores</v>
      </c>
      <c r="E7" s="14">
        <f>'P&amp;L'!E22</f>
        <v>0</v>
      </c>
      <c r="F7" s="14">
        <f>'P&amp;L'!F22</f>
        <v>0</v>
      </c>
      <c r="G7" s="14">
        <f>'P&amp;L'!G22</f>
        <v>2.0233009949999996</v>
      </c>
      <c r="H7" s="14">
        <f>'P&amp;L'!H22</f>
        <v>2.0233009949999996</v>
      </c>
      <c r="I7" s="14">
        <f>'P&amp;L'!I22</f>
        <v>2.0233009949999996</v>
      </c>
      <c r="J7" s="14">
        <f>'P&amp;L'!J22</f>
        <v>2.1073009949999997</v>
      </c>
      <c r="K7" s="14">
        <f>'P&amp;L'!K22</f>
        <v>2.1073009949999997</v>
      </c>
      <c r="L7" s="14">
        <f>'P&amp;L'!L22</f>
        <v>2.1073009949999997</v>
      </c>
      <c r="M7" s="14">
        <f>'P&amp;L'!M22</f>
        <v>2.247300995</v>
      </c>
      <c r="N7" s="14">
        <f>'P&amp;L'!N22</f>
        <v>2.247300995</v>
      </c>
      <c r="O7" s="14">
        <f>'P&amp;L'!O22</f>
        <v>2.251300995</v>
      </c>
      <c r="P7" s="14">
        <f>'P&amp;L'!P22</f>
        <v>2.411300995</v>
      </c>
      <c r="Q7" s="14">
        <f>'P&amp;L'!Q22</f>
        <v>2.411300995</v>
      </c>
      <c r="R7" s="14">
        <f>'P&amp;L'!R22</f>
        <v>2.411300995</v>
      </c>
      <c r="S7" s="14">
        <f>'P&amp;L'!S22</f>
        <v>2.5513009949999996</v>
      </c>
      <c r="T7" s="14">
        <f>'P&amp;L'!T22</f>
        <v>2.561300995</v>
      </c>
      <c r="U7" s="14">
        <f>'P&amp;L'!U22</f>
        <v>2.561300995</v>
      </c>
      <c r="V7" s="14">
        <f>'P&amp;L'!V22</f>
        <v>2.641300995</v>
      </c>
      <c r="W7" s="14">
        <f>'P&amp;L'!W22</f>
        <v>2.641300995</v>
      </c>
      <c r="X7" s="14">
        <f>'P&amp;L'!X22</f>
        <v>2.641300995</v>
      </c>
      <c r="Y7" s="14">
        <f>'P&amp;L'!Y22</f>
        <v>2.8653009949999997</v>
      </c>
      <c r="Z7" s="14">
        <f>'P&amp;L'!Z22</f>
        <v>2.8653009949999997</v>
      </c>
      <c r="AA7" s="14">
        <f>'P&amp;L'!AA22</f>
        <v>2.8653009949999997</v>
      </c>
      <c r="AB7" s="14">
        <f>'P&amp;L'!AB22</f>
        <v>2.9453009949999998</v>
      </c>
      <c r="AC7" s="14">
        <f>'P&amp;L'!AC22</f>
        <v>2.9453009949999998</v>
      </c>
      <c r="AD7" s="14">
        <f>'P&amp;L'!AD22</f>
        <v>2.9553009949999995</v>
      </c>
      <c r="AE7" s="14">
        <f>'P&amp;L'!AE22</f>
        <v>2.9553009949999995</v>
      </c>
    </row>
    <row r="8" spans="3:31" ht="12.75">
      <c r="C8" s="5" t="s">
        <v>89</v>
      </c>
      <c r="D8" s="5" t="str">
        <f>D7</f>
        <v>Rs. Crores</v>
      </c>
      <c r="E8" s="14">
        <f>'P&amp;L'!E25</f>
        <v>0</v>
      </c>
      <c r="F8" s="14">
        <f>'P&amp;L'!F25</f>
        <v>0</v>
      </c>
      <c r="G8" s="14">
        <f>'P&amp;L'!G25</f>
        <v>0</v>
      </c>
      <c r="H8" s="14">
        <f>'P&amp;L'!H25</f>
        <v>0</v>
      </c>
      <c r="I8" s="14">
        <f>'P&amp;L'!I25</f>
        <v>0</v>
      </c>
      <c r="J8" s="14">
        <f>'P&amp;L'!J25</f>
        <v>0</v>
      </c>
      <c r="K8" s="14">
        <f>'P&amp;L'!K25</f>
        <v>0</v>
      </c>
      <c r="L8" s="14">
        <f>'P&amp;L'!L25</f>
        <v>0</v>
      </c>
      <c r="M8" s="14">
        <f>'P&amp;L'!M25</f>
        <v>0</v>
      </c>
      <c r="N8" s="14">
        <f>'P&amp;L'!N25</f>
        <v>0</v>
      </c>
      <c r="O8" s="14">
        <f>'P&amp;L'!O25</f>
        <v>0</v>
      </c>
      <c r="P8" s="32">
        <f>'P&amp;L'!P25</f>
        <v>0</v>
      </c>
      <c r="Q8" s="32">
        <f>'P&amp;L'!Q25</f>
        <v>0</v>
      </c>
      <c r="R8" s="32">
        <f>'P&amp;L'!R25</f>
        <v>0</v>
      </c>
      <c r="S8" s="32">
        <f>'P&amp;L'!S25</f>
        <v>0</v>
      </c>
      <c r="T8" s="32">
        <f>'P&amp;L'!T25</f>
        <v>0</v>
      </c>
      <c r="U8" s="32">
        <f>'P&amp;L'!U25</f>
        <v>0</v>
      </c>
      <c r="V8" s="32">
        <f>'P&amp;L'!V25</f>
        <v>0</v>
      </c>
      <c r="W8" s="32">
        <f>'P&amp;L'!W25</f>
        <v>0</v>
      </c>
      <c r="X8" s="32">
        <f>'P&amp;L'!X25</f>
        <v>0</v>
      </c>
      <c r="Y8" s="32">
        <f>'P&amp;L'!Y25</f>
        <v>0</v>
      </c>
      <c r="Z8" s="32">
        <f>'P&amp;L'!Z25</f>
        <v>0</v>
      </c>
      <c r="AA8" s="32">
        <f>'P&amp;L'!AA25</f>
        <v>0</v>
      </c>
      <c r="AB8" s="32">
        <f>'P&amp;L'!AB25</f>
        <v>0</v>
      </c>
      <c r="AC8" s="32">
        <f>'P&amp;L'!AC25</f>
        <v>0</v>
      </c>
      <c r="AD8" s="32">
        <f>'P&amp;L'!AD25</f>
        <v>0</v>
      </c>
      <c r="AE8" s="32">
        <f>'P&amp;L'!AE25</f>
        <v>0</v>
      </c>
    </row>
    <row r="9" spans="3:31" ht="12.75">
      <c r="C9" s="5" t="s">
        <v>125</v>
      </c>
      <c r="D9" s="5" t="str">
        <f>D8</f>
        <v>Rs. Crores</v>
      </c>
      <c r="E9" s="14">
        <f>Capex!E18</f>
        <v>2.7711451076166043</v>
      </c>
      <c r="F9" s="14">
        <f>Capex!F18</f>
        <v>5.644569957116733</v>
      </c>
      <c r="G9" s="14">
        <f>Capex!G18</f>
        <v>1.9093738069545463</v>
      </c>
      <c r="H9" s="14">
        <f>Capex!H18</f>
        <v>0</v>
      </c>
      <c r="I9" s="14">
        <f>Capex!I18</f>
        <v>0</v>
      </c>
      <c r="J9" s="14">
        <f>Capex!J18</f>
        <v>2.1</v>
      </c>
      <c r="K9" s="14">
        <f>Capex!K18</f>
        <v>0</v>
      </c>
      <c r="L9" s="14">
        <f>Capex!L18</f>
        <v>0</v>
      </c>
      <c r="M9" s="14">
        <f>Capex!M18</f>
        <v>3.5</v>
      </c>
      <c r="N9" s="14">
        <f>Capex!N18</f>
        <v>0</v>
      </c>
      <c r="O9" s="14">
        <f>Capex!O18</f>
        <v>0.1</v>
      </c>
      <c r="P9" s="32">
        <f>Capex!P18</f>
        <v>4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</row>
    <row r="10" spans="3:31" ht="12.75">
      <c r="C10" s="5" t="s">
        <v>126</v>
      </c>
      <c r="D10" s="5" t="str">
        <f>D9</f>
        <v>Rs. Crores</v>
      </c>
      <c r="E10" s="14">
        <f>Capex!E19</f>
        <v>15.703155609827416</v>
      </c>
      <c r="F10" s="14">
        <f>Capex!F19</f>
        <v>31.985896423661497</v>
      </c>
      <c r="G10" s="14">
        <f>Capex!G19</f>
        <v>10.81978490607577</v>
      </c>
      <c r="H10" s="14">
        <f>Capex!H19</f>
        <v>0</v>
      </c>
      <c r="I10" s="14">
        <f>Capex!I19</f>
        <v>0</v>
      </c>
      <c r="J10" s="14">
        <f>Capex!J19</f>
        <v>0</v>
      </c>
      <c r="K10" s="14">
        <f>Capex!K19</f>
        <v>0</v>
      </c>
      <c r="L10" s="14">
        <f>Capex!L19</f>
        <v>0</v>
      </c>
      <c r="M10" s="14">
        <f>Capex!M19</f>
        <v>0</v>
      </c>
      <c r="N10" s="14">
        <f>Capex!N19</f>
        <v>0</v>
      </c>
      <c r="O10" s="14">
        <f>Capex!O19</f>
        <v>0</v>
      </c>
      <c r="P10" s="32">
        <f>Capex!P19</f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</row>
    <row r="11" spans="3:31" ht="12.75">
      <c r="C11" s="5" t="s">
        <v>127</v>
      </c>
      <c r="D11" s="5" t="str">
        <f>D10</f>
        <v>Rs. Crores</v>
      </c>
      <c r="E11" s="14">
        <f>WC!E13</f>
        <v>0</v>
      </c>
      <c r="F11" s="14">
        <f>WC!F13-WC!E13</f>
        <v>0</v>
      </c>
      <c r="G11" s="14">
        <f>WC!G13-WC!F13</f>
        <v>2.8911417202974254</v>
      </c>
      <c r="H11" s="14">
        <f>WC!H13-WC!G13</f>
        <v>0.1825896142729846</v>
      </c>
      <c r="I11" s="14">
        <f>WC!I13-WC!H13</f>
        <v>0.18138471911297316</v>
      </c>
      <c r="J11" s="14">
        <f>WC!J13-WC!I13</f>
        <v>0.18359560487063753</v>
      </c>
      <c r="K11" s="14">
        <f>WC!K13-WC!J13</f>
        <v>-0.006575989606639965</v>
      </c>
      <c r="L11" s="14">
        <f>WC!L13-WC!K13</f>
        <v>-0.0069601467942526085</v>
      </c>
      <c r="M11" s="14">
        <f>WC!M13-WC!L13</f>
        <v>-0.0009890559856033931</v>
      </c>
      <c r="N11" s="14">
        <f>WC!N13-WC!M13</f>
        <v>-0.007600876695134318</v>
      </c>
      <c r="O11" s="14">
        <f>WC!O13-WC!N13</f>
        <v>-0.0078519678587603</v>
      </c>
      <c r="P11" s="32">
        <f>WC!P13-WC!O13</f>
        <v>0.011380159624227115</v>
      </c>
      <c r="Q11" s="32">
        <f>WC!Q13-WC!P13</f>
        <v>0.0037588732705429173</v>
      </c>
      <c r="R11" s="32">
        <f>WC!R13-WC!Q13</f>
        <v>0.003871639468659982</v>
      </c>
      <c r="S11" s="32">
        <f>WC!S13-WC!R13</f>
        <v>0.011601205306195794</v>
      </c>
      <c r="T11" s="32">
        <f>WC!T13-WC!S13</f>
        <v>0.004895954751410692</v>
      </c>
      <c r="U11" s="32">
        <f>WC!U13-WC!T13</f>
        <v>0.0044827034544479005</v>
      </c>
      <c r="V11" s="32">
        <f>WC!V13-WC!U13</f>
        <v>0.009371119380654047</v>
      </c>
      <c r="W11" s="32">
        <f>WC!W13-WC!V13</f>
        <v>0.004898318139500812</v>
      </c>
      <c r="X11" s="32">
        <f>WC!X13-WC!W13</f>
        <v>0.005045267683685406</v>
      </c>
      <c r="Y11" s="32">
        <f>WC!Y13-WC!X13</f>
        <v>0.019741933937420963</v>
      </c>
      <c r="Z11" s="32">
        <f>WC!Z13-WC!Y13</f>
        <v>0.005788883732319228</v>
      </c>
      <c r="AA11" s="32">
        <f>WC!AA13-WC!Z13</f>
        <v>0.005962550244287712</v>
      </c>
      <c r="AB11" s="32">
        <f>WC!AB13-WC!AA13</f>
        <v>0.011817873544060387</v>
      </c>
      <c r="AC11" s="32">
        <f>WC!AC13-WC!AB13</f>
        <v>0.006495962957938861</v>
      </c>
      <c r="AD11" s="32">
        <f>WC!AD13-WC!AC13</f>
        <v>0.007443609646939908</v>
      </c>
      <c r="AE11" s="32">
        <f>WC!AE13-WC!AD13</f>
        <v>0.0069141501360854285</v>
      </c>
    </row>
    <row r="12" spans="3:31" s="1" customFormat="1" ht="12.75">
      <c r="C12" s="20" t="s">
        <v>110</v>
      </c>
      <c r="D12" s="20" t="str">
        <f>D11</f>
        <v>Rs. Crores</v>
      </c>
      <c r="E12" s="28">
        <f aca="true" t="shared" si="0" ref="E12:Q12">SUM(E6:E11)</f>
        <v>18.47430071744402</v>
      </c>
      <c r="F12" s="28">
        <f t="shared" si="0"/>
        <v>37.63046638077823</v>
      </c>
      <c r="G12" s="28">
        <f t="shared" si="0"/>
        <v>23.498889762049263</v>
      </c>
      <c r="H12" s="28">
        <f t="shared" si="0"/>
        <v>6.809350152539229</v>
      </c>
      <c r="I12" s="28">
        <f t="shared" si="0"/>
        <v>7.961803568772218</v>
      </c>
      <c r="J12" s="28">
        <f t="shared" si="0"/>
        <v>11.155559327277276</v>
      </c>
      <c r="K12" s="28">
        <f t="shared" si="0"/>
        <v>9.178654250020525</v>
      </c>
      <c r="L12" s="28">
        <f t="shared" si="0"/>
        <v>9.483700876657997</v>
      </c>
      <c r="M12" s="28">
        <f t="shared" si="0"/>
        <v>13.206084392297935</v>
      </c>
      <c r="N12" s="28">
        <f t="shared" si="0"/>
        <v>9.985287401639162</v>
      </c>
      <c r="O12" s="28">
        <f t="shared" si="0"/>
        <v>10.241775502953674</v>
      </c>
      <c r="P12" s="28">
        <f t="shared" si="0"/>
        <v>13.741795235622353</v>
      </c>
      <c r="Q12" s="28">
        <f t="shared" si="0"/>
        <v>10.132784341533302</v>
      </c>
      <c r="R12" s="28">
        <f aca="true" t="shared" si="1" ref="R12:AE12">SUM(R6:R11)</f>
        <v>10.072587948490007</v>
      </c>
      <c r="S12" s="28">
        <f t="shared" si="1"/>
        <v>9.790530870652127</v>
      </c>
      <c r="T12" s="28">
        <f t="shared" si="1"/>
        <v>9.762868067407645</v>
      </c>
      <c r="U12" s="28">
        <f t="shared" si="1"/>
        <v>9.59372317087492</v>
      </c>
      <c r="V12" s="28">
        <f t="shared" si="1"/>
        <v>9.49559084340506</v>
      </c>
      <c r="W12" s="28">
        <f t="shared" si="1"/>
        <v>9.411990341813796</v>
      </c>
      <c r="X12" s="28">
        <f t="shared" si="1"/>
        <v>9.243617899371339</v>
      </c>
      <c r="Y12" s="28">
        <f t="shared" si="1"/>
        <v>8.869489884879926</v>
      </c>
      <c r="Z12" s="28">
        <f t="shared" si="1"/>
        <v>8.899531711760027</v>
      </c>
      <c r="AA12" s="28">
        <f t="shared" si="1"/>
        <v>8.713851092263067</v>
      </c>
      <c r="AB12" s="28">
        <f t="shared" si="1"/>
        <v>8.452058444601494</v>
      </c>
      <c r="AC12" s="28">
        <f t="shared" si="1"/>
        <v>8.354355123901396</v>
      </c>
      <c r="AD12" s="28">
        <f t="shared" si="1"/>
        <v>8.159200821405015</v>
      </c>
      <c r="AE12" s="28">
        <f t="shared" si="1"/>
        <v>7.989217657621175</v>
      </c>
    </row>
    <row r="13" spans="3:31" s="1" customFormat="1" ht="12.75">
      <c r="C13" s="139" t="s">
        <v>111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</row>
    <row r="14" spans="3:31" ht="12.75">
      <c r="C14" s="5" t="s">
        <v>128</v>
      </c>
      <c r="D14" s="5" t="str">
        <f>D12</f>
        <v>Rs. Crores</v>
      </c>
      <c r="E14" s="14">
        <f>Depreciation!E5</f>
        <v>15.736701529464206</v>
      </c>
      <c r="F14" s="14">
        <f>Depreciation!F5-Depreciation!E5</f>
        <v>30.546387912499995</v>
      </c>
      <c r="G14" s="14">
        <f>Depreciation!G5-Depreciation!F5</f>
        <v>6.958332468750001</v>
      </c>
      <c r="H14" s="14">
        <f>Depreciation!H5-Depreciation!G5</f>
        <v>0</v>
      </c>
      <c r="I14" s="14">
        <f>Depreciation!I5-Depreciation!H5</f>
        <v>0</v>
      </c>
      <c r="J14" s="14">
        <f>Depreciation!J5-Depreciation!I5</f>
        <v>2.1000000000000014</v>
      </c>
      <c r="K14" s="14">
        <f>Depreciation!K5-Depreciation!J5</f>
        <v>0</v>
      </c>
      <c r="L14" s="14">
        <f>Depreciation!L5-Depreciation!K5</f>
        <v>0</v>
      </c>
      <c r="M14" s="14">
        <f>Depreciation!M5-Depreciation!L5</f>
        <v>3.5</v>
      </c>
      <c r="N14" s="14">
        <f>Depreciation!N5-Depreciation!M5</f>
        <v>0</v>
      </c>
      <c r="O14" s="14">
        <f>Depreciation!O5-Depreciation!N5</f>
        <v>0.09999999999999432</v>
      </c>
      <c r="P14" s="14">
        <f>Depreciation!P5-Depreciation!O5</f>
        <v>4</v>
      </c>
      <c r="Q14" s="14">
        <f>Depreciation!Q5-Depreciation!P5</f>
        <v>0</v>
      </c>
      <c r="R14" s="14">
        <f>Depreciation!R5-Depreciation!Q5</f>
        <v>0</v>
      </c>
      <c r="S14" s="14">
        <f>Depreciation!S5-Depreciation!R5</f>
        <v>3.5</v>
      </c>
      <c r="T14" s="14">
        <f>Depreciation!T5-Depreciation!S5</f>
        <v>0.25</v>
      </c>
      <c r="U14" s="14">
        <f>Depreciation!U5-Depreciation!T5</f>
        <v>0</v>
      </c>
      <c r="V14" s="14">
        <f>Depreciation!V5-Depreciation!U5</f>
        <v>2</v>
      </c>
      <c r="W14" s="14">
        <f>Depreciation!W5-Depreciation!V5</f>
        <v>0</v>
      </c>
      <c r="X14" s="14">
        <f>Depreciation!X5-Depreciation!W5</f>
        <v>0</v>
      </c>
      <c r="Y14" s="14">
        <f>Depreciation!Y5-Depreciation!X5</f>
        <v>5.6000000000000085</v>
      </c>
      <c r="Z14" s="14">
        <f>Depreciation!Z5-Depreciation!Y5</f>
        <v>0</v>
      </c>
      <c r="AA14" s="14">
        <f>Depreciation!AA5-Depreciation!Z5</f>
        <v>0</v>
      </c>
      <c r="AB14" s="14">
        <f>Depreciation!AB5-Depreciation!AA5</f>
        <v>2</v>
      </c>
      <c r="AC14" s="14">
        <f>Depreciation!AC5-Depreciation!AB5</f>
        <v>0</v>
      </c>
      <c r="AD14" s="14">
        <f>Depreciation!AD5-Depreciation!AC5</f>
        <v>0.25</v>
      </c>
      <c r="AE14" s="14">
        <f>Depreciation!AE5-Depreciation!AD5</f>
        <v>0</v>
      </c>
    </row>
    <row r="15" spans="3:31" ht="12.75">
      <c r="C15" s="5" t="s">
        <v>129</v>
      </c>
      <c r="D15" s="5" t="str">
        <f>D14</f>
        <v>Rs. Crores</v>
      </c>
      <c r="E15" s="14">
        <f>WC!E11</f>
        <v>0</v>
      </c>
      <c r="F15" s="14">
        <f>WC!F11-WC!E11</f>
        <v>0</v>
      </c>
      <c r="G15" s="14">
        <f>WC!G11-WC!F11</f>
        <v>3.854855627063234</v>
      </c>
      <c r="H15" s="14">
        <f>WC!H11-WC!G11</f>
        <v>0.24345281903064642</v>
      </c>
      <c r="I15" s="14">
        <f>WC!I11-WC!H11</f>
        <v>0.24184629215063058</v>
      </c>
      <c r="J15" s="14">
        <f>WC!J11-WC!I11</f>
        <v>0.2447941398275164</v>
      </c>
      <c r="K15" s="14">
        <f>WC!K11-WC!J11</f>
        <v>-0.008767986142186324</v>
      </c>
      <c r="L15" s="14">
        <f>WC!L11-WC!K11</f>
        <v>-0.009280195725669849</v>
      </c>
      <c r="M15" s="14">
        <f>WC!M11-WC!L11</f>
        <v>-0.0013187413141384496</v>
      </c>
      <c r="N15" s="14">
        <f>WC!N11-WC!M11</f>
        <v>-0.01013450226017909</v>
      </c>
      <c r="O15" s="14">
        <f>WC!O11-WC!N11</f>
        <v>-0.010469290478346771</v>
      </c>
      <c r="P15" s="14">
        <f>WC!P11-WC!O11</f>
        <v>0.015173546165636154</v>
      </c>
      <c r="Q15" s="14">
        <f>WC!Q11-WC!P11</f>
        <v>0.005011831027390556</v>
      </c>
      <c r="R15" s="14">
        <f>WC!R11-WC!Q11</f>
        <v>0.005162185958213605</v>
      </c>
      <c r="S15" s="14">
        <f>WC!S11-WC!R11</f>
        <v>0.015468273741594096</v>
      </c>
      <c r="T15" s="14">
        <f>WC!T11-WC!S11</f>
        <v>0.006527939668547589</v>
      </c>
      <c r="U15" s="14">
        <f>WC!U11-WC!T11</f>
        <v>0.005976937939263571</v>
      </c>
      <c r="V15" s="14">
        <f>WC!V11-WC!U11</f>
        <v>0.012494825840872359</v>
      </c>
      <c r="W15" s="14">
        <f>WC!W11-WC!V11</f>
        <v>0.006531090852667454</v>
      </c>
      <c r="X15" s="14">
        <f>WC!X11-WC!W11</f>
        <v>0.006727023578247504</v>
      </c>
      <c r="Y15" s="14">
        <f>WC!Y11-WC!X11</f>
        <v>0.02632257858322795</v>
      </c>
      <c r="Z15" s="14">
        <f>WC!Z11-WC!Y11</f>
        <v>0.0077185116430920075</v>
      </c>
      <c r="AA15" s="14">
        <f>WC!AA11-WC!Z11</f>
        <v>0.007950066992384208</v>
      </c>
      <c r="AB15" s="14">
        <f>WC!AB11-WC!AA11</f>
        <v>0.015757164725413553</v>
      </c>
      <c r="AC15" s="14">
        <f>WC!AC11-WC!AB11</f>
        <v>0.008661283943918185</v>
      </c>
      <c r="AD15" s="14">
        <f>WC!AD11-WC!AC11</f>
        <v>0.00992481286258684</v>
      </c>
      <c r="AE15" s="14">
        <f>WC!AE11-WC!AD11</f>
        <v>0.009218866848113905</v>
      </c>
    </row>
    <row r="16" spans="3:31" ht="12.75">
      <c r="C16" s="5" t="s">
        <v>130</v>
      </c>
      <c r="D16" s="5" t="str">
        <f>D15</f>
        <v>Rs. Crores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O16</f>
        <v>0</v>
      </c>
      <c r="Q16" s="14">
        <f>P16</f>
        <v>0</v>
      </c>
      <c r="R16" s="14">
        <f>Q16</f>
        <v>0</v>
      </c>
      <c r="S16" s="14">
        <f>R16</f>
        <v>0</v>
      </c>
      <c r="T16" s="14">
        <f>S16</f>
        <v>0</v>
      </c>
      <c r="U16" s="14">
        <f>T16</f>
        <v>0</v>
      </c>
      <c r="V16" s="14">
        <f>U16</f>
        <v>0</v>
      </c>
      <c r="W16" s="14">
        <f>V16</f>
        <v>0</v>
      </c>
      <c r="X16" s="14">
        <f>W16</f>
        <v>0</v>
      </c>
      <c r="Y16" s="14">
        <f>X16</f>
        <v>0</v>
      </c>
      <c r="Z16" s="14">
        <f>Y16</f>
        <v>0</v>
      </c>
      <c r="AA16" s="14">
        <f>Z16</f>
        <v>0</v>
      </c>
      <c r="AB16" s="14">
        <f>AA16</f>
        <v>0</v>
      </c>
      <c r="AC16" s="14">
        <f>AB16</f>
        <v>0</v>
      </c>
      <c r="AD16" s="14">
        <f>AC16</f>
        <v>0</v>
      </c>
      <c r="AE16" s="14">
        <f>AD16</f>
        <v>0</v>
      </c>
    </row>
    <row r="17" spans="3:31" ht="12.75">
      <c r="C17" s="5" t="s">
        <v>131</v>
      </c>
      <c r="D17" s="5" t="str">
        <f>D16</f>
        <v>Rs. Crores</v>
      </c>
      <c r="E17" s="14">
        <f>Interest!E9</f>
        <v>0</v>
      </c>
      <c r="F17" s="14">
        <f>Interest!F9</f>
        <v>0</v>
      </c>
      <c r="G17" s="14">
        <f>Interest!G9</f>
        <v>0</v>
      </c>
      <c r="H17" s="14">
        <f>Interest!H9</f>
        <v>6.000906352775865</v>
      </c>
      <c r="I17" s="14">
        <f>Interest!I9</f>
        <v>6.000906352775865</v>
      </c>
      <c r="J17" s="14">
        <f>Interest!J9</f>
        <v>6.000906352775865</v>
      </c>
      <c r="K17" s="14">
        <f>Interest!K9</f>
        <v>6.000906352775865</v>
      </c>
      <c r="L17" s="14">
        <f>Interest!L9</f>
        <v>6.000906352775865</v>
      </c>
      <c r="M17" s="14">
        <f>Interest!M9</f>
        <v>6.000906352775865</v>
      </c>
      <c r="N17" s="14">
        <f>Interest!N9</f>
        <v>6.000906352775865</v>
      </c>
      <c r="O17" s="14">
        <f>Interest!O9</f>
        <v>6.000906352775865</v>
      </c>
      <c r="P17" s="14">
        <f>Interest!P9</f>
        <v>6.000906352775865</v>
      </c>
      <c r="Q17" s="14">
        <f>Interest!Q9</f>
        <v>4.500679764581854</v>
      </c>
      <c r="R17" s="14">
        <f>Interest!R9</f>
        <v>0</v>
      </c>
      <c r="S17" s="14">
        <f>Interest!S9</f>
        <v>0</v>
      </c>
      <c r="T17" s="14">
        <f>Interest!T9</f>
        <v>0</v>
      </c>
      <c r="U17" s="14">
        <f>Interest!U9</f>
        <v>0</v>
      </c>
      <c r="V17" s="14">
        <f>Interest!V9</f>
        <v>0</v>
      </c>
      <c r="W17" s="14">
        <f>Interest!W9</f>
        <v>0</v>
      </c>
      <c r="X17" s="14">
        <f>Interest!X9</f>
        <v>0</v>
      </c>
      <c r="Y17" s="14">
        <f>Interest!Y9</f>
        <v>0</v>
      </c>
      <c r="Z17" s="14">
        <f>Interest!Z9</f>
        <v>0</v>
      </c>
      <c r="AA17" s="14">
        <f>Interest!AA9</f>
        <v>0</v>
      </c>
      <c r="AB17" s="14">
        <f>Interest!AB9</f>
        <v>0</v>
      </c>
      <c r="AC17" s="14">
        <f>Interest!AC9</f>
        <v>0</v>
      </c>
      <c r="AD17" s="14">
        <f>Interest!AD9</f>
        <v>0</v>
      </c>
      <c r="AE17" s="14">
        <f>Interest!AE9</f>
        <v>0</v>
      </c>
    </row>
    <row r="18" spans="3:31" s="1" customFormat="1" ht="12.75">
      <c r="C18" s="20" t="s">
        <v>121</v>
      </c>
      <c r="D18" s="20" t="str">
        <f>D17</f>
        <v>Rs. Crores</v>
      </c>
      <c r="E18" s="38">
        <f>SUM(E14:E17)</f>
        <v>15.736701529464206</v>
      </c>
      <c r="F18" s="38">
        <f aca="true" t="shared" si="2" ref="F18:O18">SUM(F14:F17)</f>
        <v>30.546387912499995</v>
      </c>
      <c r="G18" s="38">
        <f t="shared" si="2"/>
        <v>10.813188095813235</v>
      </c>
      <c r="H18" s="28">
        <f t="shared" si="2"/>
        <v>6.2443591718065115</v>
      </c>
      <c r="I18" s="28">
        <f t="shared" si="2"/>
        <v>6.242752644926496</v>
      </c>
      <c r="J18" s="28">
        <f t="shared" si="2"/>
        <v>8.345700492603383</v>
      </c>
      <c r="K18" s="28">
        <f t="shared" si="2"/>
        <v>5.992138366633679</v>
      </c>
      <c r="L18" s="28">
        <f t="shared" si="2"/>
        <v>5.991626157050195</v>
      </c>
      <c r="M18" s="28">
        <f t="shared" si="2"/>
        <v>9.499587611461727</v>
      </c>
      <c r="N18" s="28">
        <f t="shared" si="2"/>
        <v>5.990771850515686</v>
      </c>
      <c r="O18" s="28">
        <f t="shared" si="2"/>
        <v>6.090437062297513</v>
      </c>
      <c r="P18" s="28">
        <f>SUM(P14:P17)</f>
        <v>10.016079898941502</v>
      </c>
      <c r="Q18" s="28">
        <f>SUM(Q14:Q17)</f>
        <v>4.505691595609244</v>
      </c>
      <c r="R18" s="28">
        <f aca="true" t="shared" si="3" ref="R18:AE18">SUM(R14:R17)</f>
        <v>0.005162185958213605</v>
      </c>
      <c r="S18" s="28">
        <f t="shared" si="3"/>
        <v>3.515468273741594</v>
      </c>
      <c r="T18" s="28">
        <f t="shared" si="3"/>
        <v>0.2565279396685476</v>
      </c>
      <c r="U18" s="28">
        <f t="shared" si="3"/>
        <v>0.005976937939263571</v>
      </c>
      <c r="V18" s="28">
        <f t="shared" si="3"/>
        <v>2.0124948258408724</v>
      </c>
      <c r="W18" s="28">
        <f t="shared" si="3"/>
        <v>0.006531090852667454</v>
      </c>
      <c r="X18" s="28">
        <f t="shared" si="3"/>
        <v>0.006727023578247504</v>
      </c>
      <c r="Y18" s="28">
        <f t="shared" si="3"/>
        <v>5.6263225785832365</v>
      </c>
      <c r="Z18" s="28">
        <f t="shared" si="3"/>
        <v>0.0077185116430920075</v>
      </c>
      <c r="AA18" s="28">
        <f t="shared" si="3"/>
        <v>0.007950066992384208</v>
      </c>
      <c r="AB18" s="28">
        <f t="shared" si="3"/>
        <v>2.0157571647254136</v>
      </c>
      <c r="AC18" s="28">
        <f t="shared" si="3"/>
        <v>0.008661283943918185</v>
      </c>
      <c r="AD18" s="28">
        <f t="shared" si="3"/>
        <v>0.25992481286258684</v>
      </c>
      <c r="AE18" s="28">
        <f t="shared" si="3"/>
        <v>0.009218866848113905</v>
      </c>
    </row>
    <row r="19" spans="3:31" ht="12.75">
      <c r="C19" s="5" t="s">
        <v>132</v>
      </c>
      <c r="D19" s="5" t="str">
        <f>D18</f>
        <v>Rs. Crores</v>
      </c>
      <c r="E19" s="32">
        <f>E12-E18</f>
        <v>2.7375991879798143</v>
      </c>
      <c r="F19" s="32">
        <f aca="true" t="shared" si="4" ref="F19:O19">F12-F18</f>
        <v>7.084078468278236</v>
      </c>
      <c r="G19" s="32">
        <f t="shared" si="4"/>
        <v>12.685701666236028</v>
      </c>
      <c r="H19" s="14">
        <f t="shared" si="4"/>
        <v>0.5649909807327171</v>
      </c>
      <c r="I19" s="14">
        <f t="shared" si="4"/>
        <v>1.7190509238457228</v>
      </c>
      <c r="J19" s="14">
        <f t="shared" si="4"/>
        <v>2.809858834673893</v>
      </c>
      <c r="K19" s="14">
        <f t="shared" si="4"/>
        <v>3.1865158833868463</v>
      </c>
      <c r="L19" s="14">
        <f t="shared" si="4"/>
        <v>3.4920747196078015</v>
      </c>
      <c r="M19" s="14">
        <f t="shared" si="4"/>
        <v>3.7064967808362077</v>
      </c>
      <c r="N19" s="14">
        <f t="shared" si="4"/>
        <v>3.9945155511234764</v>
      </c>
      <c r="O19" s="14">
        <f t="shared" si="4"/>
        <v>4.151338440656161</v>
      </c>
      <c r="P19" s="14">
        <f>P12-P18</f>
        <v>3.7257153366808513</v>
      </c>
      <c r="Q19" s="14">
        <f>Q12-Q18</f>
        <v>5.627092745924058</v>
      </c>
      <c r="R19" s="14">
        <f aca="true" t="shared" si="5" ref="R19:AE19">R12-R18</f>
        <v>10.067425762531794</v>
      </c>
      <c r="S19" s="14">
        <f t="shared" si="5"/>
        <v>6.275062596910533</v>
      </c>
      <c r="T19" s="14">
        <f t="shared" si="5"/>
        <v>9.506340127739097</v>
      </c>
      <c r="U19" s="14">
        <f t="shared" si="5"/>
        <v>9.587746232935658</v>
      </c>
      <c r="V19" s="14">
        <f t="shared" si="5"/>
        <v>7.483096017564187</v>
      </c>
      <c r="W19" s="14">
        <f t="shared" si="5"/>
        <v>9.40545925096113</v>
      </c>
      <c r="X19" s="14">
        <f t="shared" si="5"/>
        <v>9.23689087579309</v>
      </c>
      <c r="Y19" s="14">
        <f t="shared" si="5"/>
        <v>3.243167306296689</v>
      </c>
      <c r="Z19" s="14">
        <f t="shared" si="5"/>
        <v>8.891813200116935</v>
      </c>
      <c r="AA19" s="14">
        <f t="shared" si="5"/>
        <v>8.705901025270682</v>
      </c>
      <c r="AB19" s="14">
        <f t="shared" si="5"/>
        <v>6.436301279876081</v>
      </c>
      <c r="AC19" s="14">
        <f t="shared" si="5"/>
        <v>8.345693839957477</v>
      </c>
      <c r="AD19" s="14">
        <f t="shared" si="5"/>
        <v>7.8992760085424285</v>
      </c>
      <c r="AE19" s="14">
        <f t="shared" si="5"/>
        <v>7.979998790773061</v>
      </c>
    </row>
    <row r="20" spans="3:31" ht="12.75">
      <c r="C20" s="5" t="s">
        <v>69</v>
      </c>
      <c r="D20" s="5" t="str">
        <f>D19</f>
        <v>Rs. Crores</v>
      </c>
      <c r="E20" s="32">
        <v>0</v>
      </c>
      <c r="F20" s="32">
        <f>E21</f>
        <v>2.7375991879798143</v>
      </c>
      <c r="G20" s="32">
        <f aca="true" t="shared" si="6" ref="G20:P20">F21</f>
        <v>9.82167765625805</v>
      </c>
      <c r="H20" s="14">
        <f t="shared" si="6"/>
        <v>22.507379322494078</v>
      </c>
      <c r="I20" s="14">
        <f t="shared" si="6"/>
        <v>23.072370303226794</v>
      </c>
      <c r="J20" s="14">
        <f t="shared" si="6"/>
        <v>24.79142122707252</v>
      </c>
      <c r="K20" s="14">
        <f t="shared" si="6"/>
        <v>27.60128006174641</v>
      </c>
      <c r="L20" s="14">
        <f t="shared" si="6"/>
        <v>30.787795945133258</v>
      </c>
      <c r="M20" s="14">
        <f t="shared" si="6"/>
        <v>34.27987066474106</v>
      </c>
      <c r="N20" s="14">
        <f t="shared" si="6"/>
        <v>37.98636744557727</v>
      </c>
      <c r="O20" s="14">
        <f t="shared" si="6"/>
        <v>41.98088299670075</v>
      </c>
      <c r="P20" s="14">
        <f t="shared" si="6"/>
        <v>46.13222143735691</v>
      </c>
      <c r="Q20" s="14">
        <f>P21</f>
        <v>49.85793677403776</v>
      </c>
      <c r="R20" s="14">
        <f>Q21</f>
        <v>55.48502951996182</v>
      </c>
      <c r="S20" s="14">
        <f>R21</f>
        <v>65.55245528249361</v>
      </c>
      <c r="T20" s="14">
        <f>S21</f>
        <v>71.82751787940414</v>
      </c>
      <c r="U20" s="14">
        <f>T21</f>
        <v>81.33385800714323</v>
      </c>
      <c r="V20" s="14">
        <f>U21</f>
        <v>90.92160424007889</v>
      </c>
      <c r="W20" s="14">
        <f>V21</f>
        <v>98.40470025764309</v>
      </c>
      <c r="X20" s="14">
        <f>W21</f>
        <v>107.81015950860422</v>
      </c>
      <c r="Y20" s="14">
        <f>X21</f>
        <v>117.04705038439731</v>
      </c>
      <c r="Z20" s="14">
        <f>Y21</f>
        <v>120.29021769069399</v>
      </c>
      <c r="AA20" s="14">
        <f>Z21</f>
        <v>129.18203089081092</v>
      </c>
      <c r="AB20" s="14">
        <f>AA21</f>
        <v>137.8879319160816</v>
      </c>
      <c r="AC20" s="14">
        <f>AB21</f>
        <v>144.3242331959577</v>
      </c>
      <c r="AD20" s="14">
        <f>AC21</f>
        <v>152.66992703591518</v>
      </c>
      <c r="AE20" s="14">
        <f>AD21</f>
        <v>160.5692030444576</v>
      </c>
    </row>
    <row r="21" spans="3:31" ht="12.75">
      <c r="C21" s="5" t="s">
        <v>72</v>
      </c>
      <c r="D21" s="5" t="str">
        <f>D20</f>
        <v>Rs. Crores</v>
      </c>
      <c r="E21" s="32">
        <f>E19+E20</f>
        <v>2.7375991879798143</v>
      </c>
      <c r="F21" s="32">
        <f aca="true" t="shared" si="7" ref="F21:O21">F19+F20</f>
        <v>9.82167765625805</v>
      </c>
      <c r="G21" s="32">
        <f t="shared" si="7"/>
        <v>22.507379322494078</v>
      </c>
      <c r="H21" s="14">
        <f t="shared" si="7"/>
        <v>23.072370303226794</v>
      </c>
      <c r="I21" s="14">
        <f t="shared" si="7"/>
        <v>24.79142122707252</v>
      </c>
      <c r="J21" s="14">
        <f t="shared" si="7"/>
        <v>27.60128006174641</v>
      </c>
      <c r="K21" s="14">
        <f t="shared" si="7"/>
        <v>30.787795945133258</v>
      </c>
      <c r="L21" s="14">
        <f t="shared" si="7"/>
        <v>34.27987066474106</v>
      </c>
      <c r="M21" s="14">
        <f t="shared" si="7"/>
        <v>37.98636744557727</v>
      </c>
      <c r="N21" s="14">
        <f t="shared" si="7"/>
        <v>41.98088299670075</v>
      </c>
      <c r="O21" s="14">
        <f t="shared" si="7"/>
        <v>46.13222143735691</v>
      </c>
      <c r="P21" s="14">
        <f>P19+P20</f>
        <v>49.85793677403776</v>
      </c>
      <c r="Q21" s="14">
        <f>Q19+Q20</f>
        <v>55.48502951996182</v>
      </c>
      <c r="R21" s="14">
        <f aca="true" t="shared" si="8" ref="R21:AE21">R19+R20</f>
        <v>65.55245528249361</v>
      </c>
      <c r="S21" s="14">
        <f t="shared" si="8"/>
        <v>71.82751787940414</v>
      </c>
      <c r="T21" s="14">
        <f t="shared" si="8"/>
        <v>81.33385800714323</v>
      </c>
      <c r="U21" s="14">
        <f t="shared" si="8"/>
        <v>90.92160424007889</v>
      </c>
      <c r="V21" s="14">
        <f t="shared" si="8"/>
        <v>98.40470025764309</v>
      </c>
      <c r="W21" s="14">
        <f t="shared" si="8"/>
        <v>107.81015950860422</v>
      </c>
      <c r="X21" s="14">
        <f t="shared" si="8"/>
        <v>117.04705038439731</v>
      </c>
      <c r="Y21" s="14">
        <f t="shared" si="8"/>
        <v>120.29021769069399</v>
      </c>
      <c r="Z21" s="14">
        <f t="shared" si="8"/>
        <v>129.18203089081092</v>
      </c>
      <c r="AA21" s="14">
        <f t="shared" si="8"/>
        <v>137.8879319160816</v>
      </c>
      <c r="AB21" s="14">
        <f t="shared" si="8"/>
        <v>144.3242331959577</v>
      </c>
      <c r="AC21" s="14">
        <f t="shared" si="8"/>
        <v>152.66992703591518</v>
      </c>
      <c r="AD21" s="14">
        <f t="shared" si="8"/>
        <v>160.5692030444576</v>
      </c>
      <c r="AE21" s="14">
        <f t="shared" si="8"/>
        <v>168.54920183523066</v>
      </c>
    </row>
    <row r="23" spans="3:31" ht="12.75">
      <c r="C23" t="s">
        <v>229</v>
      </c>
      <c r="D23" t="s">
        <v>22</v>
      </c>
      <c r="E23" s="4">
        <f>IF(E21-80&lt;=0,0,E21-80)</f>
        <v>0</v>
      </c>
      <c r="F23" s="4">
        <f aca="true" t="shared" si="9" ref="F23:Q23">IF(F21-80&lt;=0,0,F21-80)</f>
        <v>0</v>
      </c>
      <c r="G23" s="4">
        <f t="shared" si="9"/>
        <v>0</v>
      </c>
      <c r="H23" s="4">
        <f t="shared" si="9"/>
        <v>0</v>
      </c>
      <c r="I23" s="4">
        <f t="shared" si="9"/>
        <v>0</v>
      </c>
      <c r="J23" s="4">
        <f t="shared" si="9"/>
        <v>0</v>
      </c>
      <c r="K23" s="4">
        <f t="shared" si="9"/>
        <v>0</v>
      </c>
      <c r="L23" s="4">
        <f t="shared" si="9"/>
        <v>0</v>
      </c>
      <c r="M23" s="4">
        <f t="shared" si="9"/>
        <v>0</v>
      </c>
      <c r="N23" s="4">
        <f t="shared" si="9"/>
        <v>0</v>
      </c>
      <c r="O23" s="4">
        <f t="shared" si="9"/>
        <v>0</v>
      </c>
      <c r="P23" s="4">
        <f t="shared" si="9"/>
        <v>0</v>
      </c>
      <c r="Q23" s="4">
        <f t="shared" si="9"/>
        <v>0</v>
      </c>
      <c r="R23" s="4">
        <f aca="true" t="shared" si="10" ref="R23:AE23">IF(R21-80&lt;=0,0,R21-80)</f>
        <v>0</v>
      </c>
      <c r="S23" s="4">
        <f t="shared" si="10"/>
        <v>0</v>
      </c>
      <c r="T23" s="4">
        <f t="shared" si="10"/>
        <v>1.3338580071432347</v>
      </c>
      <c r="U23" s="4">
        <f t="shared" si="10"/>
        <v>10.921604240078892</v>
      </c>
      <c r="V23" s="4">
        <f t="shared" si="10"/>
        <v>18.404700257643086</v>
      </c>
      <c r="W23" s="4">
        <f t="shared" si="10"/>
        <v>27.810159508604215</v>
      </c>
      <c r="X23" s="4">
        <f t="shared" si="10"/>
        <v>37.04705038439731</v>
      </c>
      <c r="Y23" s="4">
        <f t="shared" si="10"/>
        <v>40.29021769069399</v>
      </c>
      <c r="Z23" s="4">
        <f t="shared" si="10"/>
        <v>49.18203089081092</v>
      </c>
      <c r="AA23" s="4">
        <f t="shared" si="10"/>
        <v>57.88793191608161</v>
      </c>
      <c r="AB23" s="4">
        <f t="shared" si="10"/>
        <v>64.3242331959577</v>
      </c>
      <c r="AC23" s="4">
        <f t="shared" si="10"/>
        <v>72.66992703591518</v>
      </c>
      <c r="AD23" s="4">
        <f t="shared" si="10"/>
        <v>80.5692030444576</v>
      </c>
      <c r="AE23" s="4">
        <f t="shared" si="10"/>
        <v>88.54920183523066</v>
      </c>
    </row>
    <row r="24" spans="2:31" ht="12.75">
      <c r="B24" s="9">
        <v>0.07</v>
      </c>
      <c r="C24" t="s">
        <v>230</v>
      </c>
      <c r="D24" t="s">
        <v>22</v>
      </c>
      <c r="E24" s="10">
        <f>IF($B$24*E23&lt;=20,$B$24*E23,20)</f>
        <v>0</v>
      </c>
      <c r="F24" s="10">
        <f>IF($B$24*F23&lt;=20,$B$24*F23,20)</f>
        <v>0</v>
      </c>
      <c r="G24" s="10">
        <f aca="true" t="shared" si="11" ref="G24:Q24">IF($B$24*G23&lt;=20,$B$24*G23,20)</f>
        <v>0</v>
      </c>
      <c r="H24" s="10">
        <f t="shared" si="11"/>
        <v>0</v>
      </c>
      <c r="I24" s="10">
        <f t="shared" si="11"/>
        <v>0</v>
      </c>
      <c r="J24" s="10">
        <f t="shared" si="11"/>
        <v>0</v>
      </c>
      <c r="K24" s="10">
        <f t="shared" si="11"/>
        <v>0</v>
      </c>
      <c r="L24" s="10">
        <f t="shared" si="11"/>
        <v>0</v>
      </c>
      <c r="M24" s="10">
        <f t="shared" si="11"/>
        <v>0</v>
      </c>
      <c r="N24" s="10">
        <f t="shared" si="11"/>
        <v>0</v>
      </c>
      <c r="O24" s="10">
        <f t="shared" si="11"/>
        <v>0</v>
      </c>
      <c r="P24" s="10">
        <f t="shared" si="11"/>
        <v>0</v>
      </c>
      <c r="Q24" s="10">
        <f t="shared" si="11"/>
        <v>0</v>
      </c>
      <c r="R24" s="10">
        <f aca="true" t="shared" si="12" ref="R24:AE24">IF($B$24*R23&lt;=20,$B$24*R23,20)</f>
        <v>0</v>
      </c>
      <c r="S24" s="10">
        <f t="shared" si="12"/>
        <v>0</v>
      </c>
      <c r="T24" s="10">
        <f t="shared" si="12"/>
        <v>0.09337006050002644</v>
      </c>
      <c r="U24" s="10">
        <f t="shared" si="12"/>
        <v>0.7645122968055226</v>
      </c>
      <c r="V24" s="10">
        <f t="shared" si="12"/>
        <v>1.2883290180350162</v>
      </c>
      <c r="W24" s="10">
        <f t="shared" si="12"/>
        <v>1.9467111656022953</v>
      </c>
      <c r="X24" s="10">
        <f t="shared" si="12"/>
        <v>2.5932935269078117</v>
      </c>
      <c r="Y24" s="10">
        <f t="shared" si="12"/>
        <v>2.82031523834858</v>
      </c>
      <c r="Z24" s="10">
        <f t="shared" si="12"/>
        <v>3.442742162356765</v>
      </c>
      <c r="AA24" s="10">
        <f t="shared" si="12"/>
        <v>4.052155234125713</v>
      </c>
      <c r="AB24" s="10">
        <f t="shared" si="12"/>
        <v>4.502696323717039</v>
      </c>
      <c r="AC24" s="10">
        <f t="shared" si="12"/>
        <v>5.086894892514063</v>
      </c>
      <c r="AD24" s="10">
        <f t="shared" si="12"/>
        <v>5.639844213112032</v>
      </c>
      <c r="AE24" s="10">
        <f t="shared" si="12"/>
        <v>6.198444128466147</v>
      </c>
    </row>
    <row r="26" spans="3:31" ht="12.75">
      <c r="C26" t="s">
        <v>231</v>
      </c>
      <c r="D26" t="s">
        <v>22</v>
      </c>
      <c r="E26" s="10">
        <f>E21-E23</f>
        <v>2.7375991879798143</v>
      </c>
      <c r="F26" s="10">
        <f aca="true" t="shared" si="13" ref="F26:Q26">F21-F23</f>
        <v>9.82167765625805</v>
      </c>
      <c r="G26" s="10">
        <f t="shared" si="13"/>
        <v>22.507379322494078</v>
      </c>
      <c r="H26" s="10">
        <f t="shared" si="13"/>
        <v>23.072370303226794</v>
      </c>
      <c r="I26" s="10">
        <f t="shared" si="13"/>
        <v>24.79142122707252</v>
      </c>
      <c r="J26" s="10">
        <f t="shared" si="13"/>
        <v>27.60128006174641</v>
      </c>
      <c r="K26" s="10">
        <f t="shared" si="13"/>
        <v>30.787795945133258</v>
      </c>
      <c r="L26" s="10">
        <f t="shared" si="13"/>
        <v>34.27987066474106</v>
      </c>
      <c r="M26" s="10">
        <f t="shared" si="13"/>
        <v>37.98636744557727</v>
      </c>
      <c r="N26" s="10">
        <f t="shared" si="13"/>
        <v>41.98088299670075</v>
      </c>
      <c r="O26" s="10">
        <f t="shared" si="13"/>
        <v>46.13222143735691</v>
      </c>
      <c r="P26" s="10">
        <f t="shared" si="13"/>
        <v>49.85793677403776</v>
      </c>
      <c r="Q26" s="10">
        <f t="shared" si="13"/>
        <v>55.48502951996182</v>
      </c>
      <c r="R26" s="10">
        <f aca="true" t="shared" si="14" ref="R26:AE26">R21-R23</f>
        <v>65.55245528249361</v>
      </c>
      <c r="S26" s="10">
        <f t="shared" si="14"/>
        <v>71.82751787940414</v>
      </c>
      <c r="T26" s="10">
        <f t="shared" si="14"/>
        <v>80</v>
      </c>
      <c r="U26" s="10">
        <f t="shared" si="14"/>
        <v>80</v>
      </c>
      <c r="V26" s="10">
        <f t="shared" si="14"/>
        <v>80</v>
      </c>
      <c r="W26" s="10">
        <f t="shared" si="14"/>
        <v>80</v>
      </c>
      <c r="X26" s="10">
        <f t="shared" si="14"/>
        <v>80</v>
      </c>
      <c r="Y26" s="10">
        <f t="shared" si="14"/>
        <v>80</v>
      </c>
      <c r="Z26" s="10">
        <f t="shared" si="14"/>
        <v>80</v>
      </c>
      <c r="AA26" s="10">
        <f t="shared" si="14"/>
        <v>80</v>
      </c>
      <c r="AB26" s="10">
        <f t="shared" si="14"/>
        <v>80</v>
      </c>
      <c r="AC26" s="10">
        <f t="shared" si="14"/>
        <v>80</v>
      </c>
      <c r="AD26" s="10">
        <f t="shared" si="14"/>
        <v>80</v>
      </c>
      <c r="AE26" s="10">
        <f t="shared" si="14"/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E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3" max="3" width="32.140625" style="0" customWidth="1"/>
    <col min="4" max="4" width="10.140625" style="0" customWidth="1"/>
    <col min="5" max="6" width="9.57421875" style="0" customWidth="1"/>
    <col min="7" max="14" width="9.57421875" style="0" bestFit="1" customWidth="1"/>
    <col min="15" max="31" width="9.57421875" style="0" customWidth="1"/>
  </cols>
  <sheetData>
    <row r="2" ht="12.75">
      <c r="C2" s="1" t="s">
        <v>147</v>
      </c>
    </row>
    <row r="4" spans="3:31" ht="12.75">
      <c r="C4" s="59" t="s">
        <v>1</v>
      </c>
      <c r="D4" s="59" t="s">
        <v>2</v>
      </c>
      <c r="E4" s="60">
        <f>'CF'!E4</f>
        <v>44651</v>
      </c>
      <c r="F4" s="60">
        <f>'CF'!F4</f>
        <v>45016</v>
      </c>
      <c r="G4" s="60">
        <f>'CF'!G4</f>
        <v>45382</v>
      </c>
      <c r="H4" s="60">
        <f>'CF'!H4</f>
        <v>45747</v>
      </c>
      <c r="I4" s="60">
        <f>'CF'!I4</f>
        <v>46112</v>
      </c>
      <c r="J4" s="60">
        <f>'CF'!J4</f>
        <v>46477</v>
      </c>
      <c r="K4" s="60">
        <f>'CF'!K4</f>
        <v>46843</v>
      </c>
      <c r="L4" s="60">
        <f>'CF'!L4</f>
        <v>47208</v>
      </c>
      <c r="M4" s="60">
        <f>'CF'!M4</f>
        <v>47573</v>
      </c>
      <c r="N4" s="60">
        <f>'CF'!N4</f>
        <v>47938</v>
      </c>
      <c r="O4" s="60">
        <f>'CF'!O4</f>
        <v>48304</v>
      </c>
      <c r="P4" s="60">
        <f>'CF'!P4</f>
        <v>48669</v>
      </c>
      <c r="Q4" s="60">
        <f>'CF'!Q4</f>
        <v>49034</v>
      </c>
      <c r="R4" s="60">
        <f>'CF'!R4</f>
        <v>49399</v>
      </c>
      <c r="S4" s="60">
        <f>'CF'!S4</f>
        <v>49765</v>
      </c>
      <c r="T4" s="60">
        <f>'CF'!T4</f>
        <v>50130</v>
      </c>
      <c r="U4" s="60">
        <f>'CF'!U4</f>
        <v>50495</v>
      </c>
      <c r="V4" s="60">
        <f>'CF'!V4</f>
        <v>50860</v>
      </c>
      <c r="W4" s="60">
        <f>'CF'!W4</f>
        <v>51226</v>
      </c>
      <c r="X4" s="60">
        <f>'CF'!X4</f>
        <v>51591</v>
      </c>
      <c r="Y4" s="60">
        <f>'CF'!Y4</f>
        <v>51956</v>
      </c>
      <c r="Z4" s="60">
        <f>'CF'!Z4</f>
        <v>52321</v>
      </c>
      <c r="AA4" s="60">
        <f>'CF'!AA4</f>
        <v>52687</v>
      </c>
      <c r="AB4" s="60">
        <f>'CF'!AB4</f>
        <v>53052</v>
      </c>
      <c r="AC4" s="60">
        <f>'CF'!AC4</f>
        <v>53417</v>
      </c>
      <c r="AD4" s="60">
        <f>'CF'!AD4</f>
        <v>53782</v>
      </c>
      <c r="AE4" s="60">
        <f>'CF'!AE4</f>
        <v>54148</v>
      </c>
    </row>
    <row r="5" spans="3:31" ht="12.75">
      <c r="C5" s="20" t="s">
        <v>133</v>
      </c>
      <c r="D5" s="5"/>
      <c r="E5" s="5"/>
      <c r="F5" s="5"/>
      <c r="G5" s="5"/>
      <c r="H5" s="5"/>
      <c r="I5" s="5"/>
      <c r="J5" s="5"/>
      <c r="K5" s="5"/>
      <c r="L5" s="5"/>
      <c r="M5" s="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3:31" ht="12.75">
      <c r="C6" s="5" t="s">
        <v>134</v>
      </c>
      <c r="D6" s="5" t="str">
        <f>'CF'!D6</f>
        <v>Rs. Crores</v>
      </c>
      <c r="E6" s="14">
        <f>-(Capex!E13-Capex!E12)</f>
        <v>-18.47430071744402</v>
      </c>
      <c r="F6" s="14">
        <f>-(Capex!F13-Capex!F12)</f>
        <v>-37.63046638077823</v>
      </c>
      <c r="G6" s="14">
        <f>-(Capex!G13-Capex!G12)</f>
        <v>-11.765444806264508</v>
      </c>
      <c r="H6" s="14">
        <f>-(Capex!H13-Capex!H12)</f>
        <v>0</v>
      </c>
      <c r="I6" s="14">
        <f>-(Capex!I13-Capex!I12)</f>
        <v>0</v>
      </c>
      <c r="J6" s="14">
        <f>-(Capex!J13-Capex!J12)</f>
        <v>-2.1</v>
      </c>
      <c r="K6" s="14">
        <f>-(Capex!K13-Capex!K12)</f>
        <v>0</v>
      </c>
      <c r="L6" s="14">
        <f>-(Capex!L13-Capex!L12)</f>
        <v>0</v>
      </c>
      <c r="M6" s="14">
        <f>-(Capex!M13-Capex!M12)</f>
        <v>-3.5</v>
      </c>
      <c r="N6" s="14">
        <f>-(Capex!N13-Capex!N12)</f>
        <v>0</v>
      </c>
      <c r="O6" s="14">
        <f>-(Capex!O13-Capex!O12)</f>
        <v>-0.1</v>
      </c>
      <c r="P6" s="14">
        <f>-(Capex!P13-Capex!P12)</f>
        <v>-4</v>
      </c>
      <c r="Q6" s="14">
        <f>-(Capex!Q13-Capex!Q12)</f>
        <v>0</v>
      </c>
      <c r="R6" s="14">
        <f>-(Capex!R13-Capex!R12)</f>
        <v>0</v>
      </c>
      <c r="S6" s="14">
        <f>-(Capex!S13-Capex!S12)</f>
        <v>-3.5</v>
      </c>
      <c r="T6" s="14">
        <f>-(Capex!T13-Capex!T12)</f>
        <v>-0.25</v>
      </c>
      <c r="U6" s="14">
        <f>-(Capex!U13-Capex!U12)</f>
        <v>0</v>
      </c>
      <c r="V6" s="14">
        <f>-(Capex!V13-Capex!V12)</f>
        <v>-2</v>
      </c>
      <c r="W6" s="14">
        <f>-(Capex!W13-Capex!W12)</f>
        <v>0</v>
      </c>
      <c r="X6" s="14">
        <f>-(Capex!X13-Capex!X12)</f>
        <v>0</v>
      </c>
      <c r="Y6" s="14">
        <f>-(Capex!Y13-Capex!Y12)</f>
        <v>-5.6</v>
      </c>
      <c r="Z6" s="14">
        <f>-(Capex!Z13-Capex!Z12)</f>
        <v>0</v>
      </c>
      <c r="AA6" s="14">
        <f>-(Capex!AA13-Capex!AA12)</f>
        <v>0</v>
      </c>
      <c r="AB6" s="14">
        <f>-(Capex!AB13-Capex!AB12)</f>
        <v>-2</v>
      </c>
      <c r="AC6" s="14">
        <f>-(Capex!AC13-Capex!AC12)</f>
        <v>0</v>
      </c>
      <c r="AD6" s="14">
        <f>-(Capex!AD13-Capex!AD12)</f>
        <v>-0.25</v>
      </c>
      <c r="AE6" s="14">
        <f>-(Capex!AE13-Capex!AE12)</f>
        <v>0</v>
      </c>
    </row>
    <row r="7" spans="3:31" ht="12.75">
      <c r="C7" s="5" t="s">
        <v>101</v>
      </c>
      <c r="D7" s="5" t="str">
        <f aca="true" t="shared" si="0" ref="D7:D14">D6</f>
        <v>Rs. Crores</v>
      </c>
      <c r="E7" s="14">
        <f>-Capex!E12</f>
        <v>0</v>
      </c>
      <c r="F7" s="14">
        <f>-Capex!F12</f>
        <v>0</v>
      </c>
      <c r="G7" s="14">
        <f>-WC!G12</f>
        <v>-0.9637139067658085</v>
      </c>
      <c r="H7" s="14">
        <f>-(WC!H11-WC!G11)</f>
        <v>-0.24345281903064642</v>
      </c>
      <c r="I7" s="14">
        <f>-(WC!I11-WC!H11)</f>
        <v>-0.24184629215063058</v>
      </c>
      <c r="J7" s="14">
        <f>-(WC!J11-WC!I11)</f>
        <v>-0.2447941398275164</v>
      </c>
      <c r="K7" s="14">
        <f>-(WC!K11-WC!J11)</f>
        <v>0.008767986142186324</v>
      </c>
      <c r="L7" s="14">
        <f>-(WC!L11-WC!K11)</f>
        <v>0.009280195725669849</v>
      </c>
      <c r="M7" s="14">
        <f>-(WC!M11-WC!L11)</f>
        <v>0.0013187413141384496</v>
      </c>
      <c r="N7" s="14">
        <f>-(WC!N11-WC!M11)</f>
        <v>0.01013450226017909</v>
      </c>
      <c r="O7" s="14">
        <f>-(WC!O11-WC!N11)</f>
        <v>0.010469290478346771</v>
      </c>
      <c r="P7" s="14">
        <f>-(WC!P11-WC!O11)</f>
        <v>-0.015173546165636154</v>
      </c>
      <c r="Q7" s="14">
        <f>-(WC!Q11-WC!P11)</f>
        <v>-0.005011831027390556</v>
      </c>
      <c r="R7" s="14">
        <f>-(WC!R11-WC!Q11)</f>
        <v>-0.005162185958213605</v>
      </c>
      <c r="S7" s="14">
        <f>-(WC!S11-WC!R11)</f>
        <v>-0.015468273741594096</v>
      </c>
      <c r="T7" s="14">
        <f>-(WC!T11-WC!S11)</f>
        <v>-0.006527939668547589</v>
      </c>
      <c r="U7" s="14">
        <f>-(WC!U11-WC!T11)</f>
        <v>-0.005976937939263571</v>
      </c>
      <c r="V7" s="14">
        <f>-(WC!V11-WC!U11)</f>
        <v>-0.012494825840872359</v>
      </c>
      <c r="W7" s="14">
        <f>-(WC!W11-WC!V11)</f>
        <v>-0.006531090852667454</v>
      </c>
      <c r="X7" s="14">
        <f>-(WC!X11-WC!W11)</f>
        <v>-0.006727023578247504</v>
      </c>
      <c r="Y7" s="14">
        <f>-(WC!Y11-WC!X11)</f>
        <v>-0.02632257858322795</v>
      </c>
      <c r="Z7" s="14">
        <f>-(WC!Z11-WC!Y11)</f>
        <v>-0.0077185116430920075</v>
      </c>
      <c r="AA7" s="14">
        <f>-(WC!AA11-WC!Z11)</f>
        <v>-0.007950066992384208</v>
      </c>
      <c r="AB7" s="14">
        <f>-(WC!AB11-WC!AA11)</f>
        <v>-0.015757164725413553</v>
      </c>
      <c r="AC7" s="14">
        <f>-(WC!AC11-WC!AB11)</f>
        <v>-0.008661283943918185</v>
      </c>
      <c r="AD7" s="14">
        <f>-(WC!AD11-WC!AC11)</f>
        <v>-0.00992481286258684</v>
      </c>
      <c r="AE7" s="14">
        <f>-(WC!AE11-WC!AD11)</f>
        <v>-0.009218866848113905</v>
      </c>
    </row>
    <row r="8" spans="3:31" s="1" customFormat="1" ht="12.75">
      <c r="C8" s="20" t="s">
        <v>135</v>
      </c>
      <c r="D8" s="20" t="str">
        <f t="shared" si="0"/>
        <v>Rs. Crores</v>
      </c>
      <c r="E8" s="28">
        <f aca="true" t="shared" si="1" ref="E8:Q8">SUM(E6:E7)</f>
        <v>-18.47430071744402</v>
      </c>
      <c r="F8" s="28">
        <f t="shared" si="1"/>
        <v>-37.63046638077823</v>
      </c>
      <c r="G8" s="28">
        <f t="shared" si="1"/>
        <v>-12.729158713030316</v>
      </c>
      <c r="H8" s="28">
        <f t="shared" si="1"/>
        <v>-0.24345281903064642</v>
      </c>
      <c r="I8" s="28">
        <f t="shared" si="1"/>
        <v>-0.24184629215063058</v>
      </c>
      <c r="J8" s="28">
        <f t="shared" si="1"/>
        <v>-2.3447941398275165</v>
      </c>
      <c r="K8" s="28">
        <f t="shared" si="1"/>
        <v>0.008767986142186324</v>
      </c>
      <c r="L8" s="28">
        <f t="shared" si="1"/>
        <v>0.009280195725669849</v>
      </c>
      <c r="M8" s="28">
        <f t="shared" si="1"/>
        <v>-3.4986812586858616</v>
      </c>
      <c r="N8" s="38">
        <f t="shared" si="1"/>
        <v>0.01013450226017909</v>
      </c>
      <c r="O8" s="38">
        <f t="shared" si="1"/>
        <v>-0.08953070952165323</v>
      </c>
      <c r="P8" s="38">
        <f t="shared" si="1"/>
        <v>-4.015173546165636</v>
      </c>
      <c r="Q8" s="38">
        <f t="shared" si="1"/>
        <v>-0.005011831027390556</v>
      </c>
      <c r="R8" s="38">
        <f aca="true" t="shared" si="2" ref="R8:AE8">SUM(R6:R7)</f>
        <v>-0.005162185958213605</v>
      </c>
      <c r="S8" s="38">
        <f t="shared" si="2"/>
        <v>-3.515468273741594</v>
      </c>
      <c r="T8" s="38">
        <f t="shared" si="2"/>
        <v>-0.2565279396685476</v>
      </c>
      <c r="U8" s="38">
        <f t="shared" si="2"/>
        <v>-0.005976937939263571</v>
      </c>
      <c r="V8" s="38">
        <f t="shared" si="2"/>
        <v>-2.0124948258408724</v>
      </c>
      <c r="W8" s="38">
        <f t="shared" si="2"/>
        <v>-0.006531090852667454</v>
      </c>
      <c r="X8" s="38">
        <f t="shared" si="2"/>
        <v>-0.006727023578247504</v>
      </c>
      <c r="Y8" s="38">
        <f t="shared" si="2"/>
        <v>-5.626322578583228</v>
      </c>
      <c r="Z8" s="38">
        <f t="shared" si="2"/>
        <v>-0.0077185116430920075</v>
      </c>
      <c r="AA8" s="38">
        <f t="shared" si="2"/>
        <v>-0.007950066992384208</v>
      </c>
      <c r="AB8" s="38">
        <f t="shared" si="2"/>
        <v>-2.0157571647254136</v>
      </c>
      <c r="AC8" s="38">
        <f t="shared" si="2"/>
        <v>-0.008661283943918185</v>
      </c>
      <c r="AD8" s="38">
        <f t="shared" si="2"/>
        <v>-0.25992481286258684</v>
      </c>
      <c r="AE8" s="38">
        <f t="shared" si="2"/>
        <v>-0.009218866848113905</v>
      </c>
    </row>
    <row r="9" spans="3:31" s="1" customFormat="1" ht="12.75">
      <c r="C9" s="20" t="s">
        <v>136</v>
      </c>
      <c r="D9" s="20" t="str">
        <f t="shared" si="0"/>
        <v>Rs. Crores</v>
      </c>
      <c r="E9" s="28"/>
      <c r="F9" s="28"/>
      <c r="G9" s="28"/>
      <c r="H9" s="28"/>
      <c r="I9" s="28"/>
      <c r="J9" s="28"/>
      <c r="K9" s="28"/>
      <c r="L9" s="28"/>
      <c r="M9" s="2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3:31" ht="12.75">
      <c r="C10" s="5" t="s">
        <v>124</v>
      </c>
      <c r="D10" s="5" t="str">
        <f t="shared" si="0"/>
        <v>Rs. Crores</v>
      </c>
      <c r="E10" s="14">
        <f>'P&amp;L'!E30</f>
        <v>0</v>
      </c>
      <c r="F10" s="14">
        <f>'P&amp;L'!F30</f>
        <v>0</v>
      </c>
      <c r="G10" s="14">
        <f>'P&amp;L'!G30</f>
        <v>5.855288333721521</v>
      </c>
      <c r="H10" s="14">
        <f>'P&amp;L'!H30</f>
        <v>4.603459543266244</v>
      </c>
      <c r="I10" s="14">
        <f>'P&amp;L'!I30</f>
        <v>5.757117854659246</v>
      </c>
      <c r="J10" s="14">
        <f>'P&amp;L'!J30</f>
        <v>6.764662727406638</v>
      </c>
      <c r="K10" s="14">
        <f>'P&amp;L'!K30</f>
        <v>7.077929244627166</v>
      </c>
      <c r="L10" s="14">
        <f>'P&amp;L'!L30</f>
        <v>7.383360028452249</v>
      </c>
      <c r="M10" s="14">
        <f>'P&amp;L'!M30</f>
        <v>7.459772453283538</v>
      </c>
      <c r="N10" s="32">
        <f>'P&amp;L'!N30</f>
        <v>7.745587283334297</v>
      </c>
      <c r="O10" s="32">
        <f>'P&amp;L'!O30</f>
        <v>7.898326475812436</v>
      </c>
      <c r="P10" s="32">
        <f>'P&amp;L'!P30</f>
        <v>7.319114080998126</v>
      </c>
      <c r="Q10" s="32">
        <f>'P&amp;L'!Q30</f>
        <v>7.717724473262759</v>
      </c>
      <c r="R10" s="32">
        <f>'P&amp;L'!R30</f>
        <v>7.657415314021347</v>
      </c>
      <c r="S10" s="32">
        <f>'P&amp;L'!S30</f>
        <v>7.227628670345931</v>
      </c>
      <c r="T10" s="32">
        <f>'P&amp;L'!T30</f>
        <v>7.1966711176562335</v>
      </c>
      <c r="U10" s="32">
        <f>'P&amp;L'!U30</f>
        <v>7.0279394724204725</v>
      </c>
      <c r="V10" s="32">
        <f>'P&amp;L'!V30</f>
        <v>6.844918729024405</v>
      </c>
      <c r="W10" s="32">
        <f>'P&amp;L'!W30</f>
        <v>6.765791028674295</v>
      </c>
      <c r="X10" s="32">
        <f>'P&amp;L'!X30</f>
        <v>6.597271636687653</v>
      </c>
      <c r="Y10" s="32">
        <f>'P&amp;L'!Y30</f>
        <v>5.984446955942505</v>
      </c>
      <c r="Z10" s="32">
        <f>'P&amp;L'!Z30</f>
        <v>6.028441833027709</v>
      </c>
      <c r="AA10" s="32">
        <f>'P&amp;L'!AA30</f>
        <v>5.842587547018779</v>
      </c>
      <c r="AB10" s="32">
        <f>'P&amp;L'!AB30</f>
        <v>5.494939576057433</v>
      </c>
      <c r="AC10" s="32">
        <f>'P&amp;L'!AC30</f>
        <v>5.402558165943457</v>
      </c>
      <c r="AD10" s="32">
        <f>'P&amp;L'!AD30</f>
        <v>5.196456216758077</v>
      </c>
      <c r="AE10" s="32">
        <f>'P&amp;L'!AE30</f>
        <v>5.02700251248509</v>
      </c>
    </row>
    <row r="11" spans="3:31" ht="12.75">
      <c r="C11" s="5" t="s">
        <v>76</v>
      </c>
      <c r="D11" s="5" t="str">
        <f t="shared" si="0"/>
        <v>Rs. Crores</v>
      </c>
      <c r="E11" s="14">
        <f>'P&amp;L'!E22</f>
        <v>0</v>
      </c>
      <c r="F11" s="14">
        <f>'P&amp;L'!F22</f>
        <v>0</v>
      </c>
      <c r="G11" s="14">
        <f>'P&amp;L'!G22</f>
        <v>2.0233009949999996</v>
      </c>
      <c r="H11" s="14">
        <f>'P&amp;L'!H22</f>
        <v>2.0233009949999996</v>
      </c>
      <c r="I11" s="14">
        <f>'P&amp;L'!I22</f>
        <v>2.0233009949999996</v>
      </c>
      <c r="J11" s="14">
        <f>'P&amp;L'!J22</f>
        <v>2.1073009949999997</v>
      </c>
      <c r="K11" s="14">
        <f>'P&amp;L'!K22</f>
        <v>2.1073009949999997</v>
      </c>
      <c r="L11" s="14">
        <f>'P&amp;L'!L22</f>
        <v>2.1073009949999997</v>
      </c>
      <c r="M11" s="14">
        <f>'P&amp;L'!M22</f>
        <v>2.247300995</v>
      </c>
      <c r="N11" s="32">
        <f>'P&amp;L'!N22</f>
        <v>2.247300995</v>
      </c>
      <c r="O11" s="32">
        <f>'P&amp;L'!O22</f>
        <v>2.251300995</v>
      </c>
      <c r="P11" s="32">
        <f>'P&amp;L'!P22</f>
        <v>2.411300995</v>
      </c>
      <c r="Q11" s="32">
        <f>'P&amp;L'!Q22</f>
        <v>2.411300995</v>
      </c>
      <c r="R11" s="32">
        <f>'P&amp;L'!R22</f>
        <v>2.411300995</v>
      </c>
      <c r="S11" s="32">
        <f>'P&amp;L'!S22</f>
        <v>2.5513009949999996</v>
      </c>
      <c r="T11" s="32">
        <f>'P&amp;L'!T22</f>
        <v>2.561300995</v>
      </c>
      <c r="U11" s="32">
        <f>'P&amp;L'!U22</f>
        <v>2.561300995</v>
      </c>
      <c r="V11" s="32">
        <f>'P&amp;L'!V22</f>
        <v>2.641300995</v>
      </c>
      <c r="W11" s="32">
        <f>'P&amp;L'!W22</f>
        <v>2.641300995</v>
      </c>
      <c r="X11" s="32">
        <f>'P&amp;L'!X22</f>
        <v>2.641300995</v>
      </c>
      <c r="Y11" s="32">
        <f>'P&amp;L'!Y22</f>
        <v>2.8653009949999997</v>
      </c>
      <c r="Z11" s="32">
        <f>'P&amp;L'!Z22</f>
        <v>2.8653009949999997</v>
      </c>
      <c r="AA11" s="32">
        <f>'P&amp;L'!AA22</f>
        <v>2.8653009949999997</v>
      </c>
      <c r="AB11" s="32">
        <f>'P&amp;L'!AB22</f>
        <v>2.9453009949999998</v>
      </c>
      <c r="AC11" s="32">
        <f>'P&amp;L'!AC22</f>
        <v>2.9453009949999998</v>
      </c>
      <c r="AD11" s="32">
        <f>'P&amp;L'!AD22</f>
        <v>2.9553009949999995</v>
      </c>
      <c r="AE11" s="32">
        <f>'P&amp;L'!AE22</f>
        <v>2.9553009949999995</v>
      </c>
    </row>
    <row r="12" spans="3:31" ht="12.75">
      <c r="C12" s="5" t="s">
        <v>89</v>
      </c>
      <c r="D12" s="5" t="str">
        <f t="shared" si="0"/>
        <v>Rs. Crores</v>
      </c>
      <c r="E12" s="14">
        <f>'P&amp;L'!E25</f>
        <v>0</v>
      </c>
      <c r="F12" s="14">
        <f>'P&amp;L'!F25</f>
        <v>0</v>
      </c>
      <c r="G12" s="14">
        <f>'P&amp;L'!G25</f>
        <v>0</v>
      </c>
      <c r="H12" s="14">
        <f>'P&amp;L'!H25</f>
        <v>0</v>
      </c>
      <c r="I12" s="14">
        <f>'P&amp;L'!I25</f>
        <v>0</v>
      </c>
      <c r="J12" s="14">
        <f>'P&amp;L'!J25</f>
        <v>0</v>
      </c>
      <c r="K12" s="14">
        <f>'P&amp;L'!K25</f>
        <v>0</v>
      </c>
      <c r="L12" s="14">
        <f>'P&amp;L'!L25</f>
        <v>0</v>
      </c>
      <c r="M12" s="14">
        <f>'P&amp;L'!M25</f>
        <v>0</v>
      </c>
      <c r="N12" s="32">
        <f>'P&amp;L'!N25</f>
        <v>0</v>
      </c>
      <c r="O12" s="32">
        <f>'P&amp;L'!O25</f>
        <v>0</v>
      </c>
      <c r="P12" s="32">
        <f>'P&amp;L'!P25</f>
        <v>0</v>
      </c>
      <c r="Q12" s="32">
        <f>'P&amp;L'!Q25</f>
        <v>0</v>
      </c>
      <c r="R12" s="32">
        <f>'P&amp;L'!R25</f>
        <v>0</v>
      </c>
      <c r="S12" s="32">
        <f>'P&amp;L'!S25</f>
        <v>0</v>
      </c>
      <c r="T12" s="32">
        <f>'P&amp;L'!T25</f>
        <v>0</v>
      </c>
      <c r="U12" s="32">
        <f>'P&amp;L'!U25</f>
        <v>0</v>
      </c>
      <c r="V12" s="32">
        <f>'P&amp;L'!V25</f>
        <v>0</v>
      </c>
      <c r="W12" s="32">
        <f>'P&amp;L'!W25</f>
        <v>0</v>
      </c>
      <c r="X12" s="32">
        <f>'P&amp;L'!X25</f>
        <v>0</v>
      </c>
      <c r="Y12" s="32">
        <f>'P&amp;L'!Y25</f>
        <v>0</v>
      </c>
      <c r="Z12" s="32">
        <f>'P&amp;L'!Z25</f>
        <v>0</v>
      </c>
      <c r="AA12" s="32">
        <f>'P&amp;L'!AA25</f>
        <v>0</v>
      </c>
      <c r="AB12" s="32">
        <f>'P&amp;L'!AB25</f>
        <v>0</v>
      </c>
      <c r="AC12" s="32">
        <f>'P&amp;L'!AC25</f>
        <v>0</v>
      </c>
      <c r="AD12" s="32">
        <f>'P&amp;L'!AD25</f>
        <v>0</v>
      </c>
      <c r="AE12" s="32">
        <f>'P&amp;L'!AE25</f>
        <v>0</v>
      </c>
    </row>
    <row r="13" spans="3:31" ht="12.75">
      <c r="C13" s="5" t="s">
        <v>137</v>
      </c>
      <c r="D13" s="5" t="str">
        <f t="shared" si="0"/>
        <v>Rs. Crores</v>
      </c>
      <c r="E13" s="14">
        <f>('P&amp;L'!E23+'P&amp;L'!E24)*(1-'P&amp;L'!E36)</f>
        <v>0</v>
      </c>
      <c r="F13" s="14">
        <f>('P&amp;L'!F23+'P&amp;L'!F24)*(1-'P&amp;L'!F36)</f>
        <v>0</v>
      </c>
      <c r="G13" s="14">
        <f>('P&amp;L'!G23+'P&amp;L'!G24)*(1-'P&amp;L'!G36)</f>
        <v>2.5639363874874856</v>
      </c>
      <c r="H13" s="14">
        <f>('P&amp;L'!H23+'P&amp;L'!H24)*(1-'P&amp;L'!H36)</f>
        <v>4.884802883814434</v>
      </c>
      <c r="I13" s="14">
        <f>('P&amp;L'!I23+'P&amp;L'!I24)*(1-'P&amp;L'!I36)</f>
        <v>4.399548706646116</v>
      </c>
      <c r="J13" s="14">
        <f>('P&amp;L'!J23+'P&amp;L'!J24)*(1-'P&amp;L'!J36)</f>
        <v>3.9144788816662905</v>
      </c>
      <c r="K13" s="14">
        <f>('P&amp;L'!K23+'P&amp;L'!K24)*(1-'P&amp;L'!K36)</f>
        <v>3.4135518150765956</v>
      </c>
      <c r="L13" s="14">
        <f>('P&amp;L'!L23+'P&amp;L'!L24)*(1-'P&amp;L'!L36)</f>
        <v>2.91259271597775</v>
      </c>
      <c r="M13" s="14">
        <f>('P&amp;L'!M23+'P&amp;L'!M24)*(1-'P&amp;L'!M36)</f>
        <v>2.4121315094789413</v>
      </c>
      <c r="N13" s="32">
        <f>('P&amp;L'!N23+'P&amp;L'!N24)*(1-'P&amp;L'!N36)</f>
        <v>1.9111189838477425</v>
      </c>
      <c r="O13" s="32">
        <f>('P&amp;L'!O23+'P&amp;L'!O24)*(1-'P&amp;L'!O36)</f>
        <v>1.3894041605035627</v>
      </c>
      <c r="P13" s="32">
        <f>('P&amp;L'!P23+'P&amp;L'!P24)*(1-'P&amp;L'!P36)</f>
        <v>0.8156297645424996</v>
      </c>
      <c r="Q13" s="32">
        <f>('P&amp;L'!Q23+'P&amp;L'!Q24)*(1-'P&amp;L'!Q36)</f>
        <v>0.3838240513917059</v>
      </c>
      <c r="R13" s="32">
        <f>('P&amp;L'!R23+'P&amp;L'!R24)*(1-'P&amp;L'!R36)</f>
        <v>0.2538283155539782</v>
      </c>
      <c r="S13" s="32">
        <f>('P&amp;L'!S23+'P&amp;L'!S24)*(1-'P&amp;L'!S36)</f>
        <v>0.2500531136928806</v>
      </c>
      <c r="T13" s="32">
        <f>('P&amp;L'!T23+'P&amp;L'!T24)*(1-'P&amp;L'!T36)</f>
        <v>0.2528289645011252</v>
      </c>
      <c r="U13" s="32">
        <f>('P&amp;L'!U23+'P&amp;L'!U24)*(1-'P&amp;L'!U36)</f>
        <v>0.25027871190281686</v>
      </c>
      <c r="V13" s="32">
        <f>('P&amp;L'!V23+'P&amp;L'!V24)*(1-'P&amp;L'!V36)</f>
        <v>0.25216241043001775</v>
      </c>
      <c r="W13" s="32">
        <f>('P&amp;L'!W23+'P&amp;L'!W24)*(1-'P&amp;L'!W36)</f>
        <v>0.25307557363373817</v>
      </c>
      <c r="X13" s="32">
        <f>('P&amp;L'!X23+'P&amp;L'!X24)*(1-'P&amp;L'!X36)</f>
        <v>0.2507171538355426</v>
      </c>
      <c r="Y13" s="32">
        <f>('P&amp;L'!Y23+'P&amp;L'!Y24)*(1-'P&amp;L'!Y36)</f>
        <v>0.24624370381427035</v>
      </c>
      <c r="Z13" s="32">
        <f>('P&amp;L'!Z23+'P&amp;L'!Z24)*(1-'P&amp;L'!Z36)</f>
        <v>0.2528680629803545</v>
      </c>
      <c r="AA13" s="32">
        <f>('P&amp;L'!AA23+'P&amp;L'!AA24)*(1-'P&amp;L'!AA36)</f>
        <v>0.2500407858258148</v>
      </c>
      <c r="AB13" s="32">
        <f>('P&amp;L'!AB23+'P&amp;L'!AB24)*(1-'P&amp;L'!AB36)</f>
        <v>0.24647444472282018</v>
      </c>
      <c r="AC13" s="32">
        <f>('P&amp;L'!AC23+'P&amp;L'!AC24)*(1-'P&amp;L'!AC36)</f>
        <v>0.2479403075190157</v>
      </c>
      <c r="AD13" s="32">
        <f>('P&amp;L'!AD23+'P&amp;L'!AD24)*(1-'P&amp;L'!AD36)</f>
        <v>0.24513971874988918</v>
      </c>
      <c r="AE13" s="32">
        <f>('P&amp;L'!AE23+'P&amp;L'!AE24)*(1-'P&amp;L'!AE36)</f>
        <v>0.24321857593426782</v>
      </c>
    </row>
    <row r="14" spans="3:31" s="1" customFormat="1" ht="12.75">
      <c r="C14" s="20" t="s">
        <v>138</v>
      </c>
      <c r="D14" s="20" t="str">
        <f t="shared" si="0"/>
        <v>Rs. Crores</v>
      </c>
      <c r="E14" s="28">
        <f aca="true" t="shared" si="3" ref="E14:Q14">SUM(E10:E13)</f>
        <v>0</v>
      </c>
      <c r="F14" s="28">
        <f t="shared" si="3"/>
        <v>0</v>
      </c>
      <c r="G14" s="28">
        <f t="shared" si="3"/>
        <v>10.442525716209007</v>
      </c>
      <c r="H14" s="28">
        <f t="shared" si="3"/>
        <v>11.511563422080677</v>
      </c>
      <c r="I14" s="28">
        <f t="shared" si="3"/>
        <v>12.17996755630536</v>
      </c>
      <c r="J14" s="28">
        <f t="shared" si="3"/>
        <v>12.78644260407293</v>
      </c>
      <c r="K14" s="28">
        <f t="shared" si="3"/>
        <v>12.598782054703761</v>
      </c>
      <c r="L14" s="28">
        <f t="shared" si="3"/>
        <v>12.40325373943</v>
      </c>
      <c r="M14" s="28">
        <f t="shared" si="3"/>
        <v>12.119204957762479</v>
      </c>
      <c r="N14" s="38">
        <f t="shared" si="3"/>
        <v>11.90400726218204</v>
      </c>
      <c r="O14" s="38">
        <f t="shared" si="3"/>
        <v>11.539031631315998</v>
      </c>
      <c r="P14" s="38">
        <f t="shared" si="3"/>
        <v>10.546044840540626</v>
      </c>
      <c r="Q14" s="38">
        <f t="shared" si="3"/>
        <v>10.512849519654464</v>
      </c>
      <c r="R14" s="38">
        <f aca="true" t="shared" si="4" ref="R14:AE14">SUM(R10:R13)</f>
        <v>10.322544624575325</v>
      </c>
      <c r="S14" s="38">
        <f t="shared" si="4"/>
        <v>10.028982779038811</v>
      </c>
      <c r="T14" s="38">
        <f t="shared" si="4"/>
        <v>10.010801077157359</v>
      </c>
      <c r="U14" s="38">
        <f t="shared" si="4"/>
        <v>9.83951917932329</v>
      </c>
      <c r="V14" s="38">
        <f t="shared" si="4"/>
        <v>9.738382134454422</v>
      </c>
      <c r="W14" s="38">
        <f t="shared" si="4"/>
        <v>9.660167597308034</v>
      </c>
      <c r="X14" s="38">
        <f t="shared" si="4"/>
        <v>9.489289785523196</v>
      </c>
      <c r="Y14" s="38">
        <f t="shared" si="4"/>
        <v>9.095991654756775</v>
      </c>
      <c r="Z14" s="38">
        <f t="shared" si="4"/>
        <v>9.146610891008063</v>
      </c>
      <c r="AA14" s="38">
        <f t="shared" si="4"/>
        <v>8.957929327844594</v>
      </c>
      <c r="AB14" s="38">
        <f t="shared" si="4"/>
        <v>8.686715015780253</v>
      </c>
      <c r="AC14" s="38">
        <f t="shared" si="4"/>
        <v>8.595799468462474</v>
      </c>
      <c r="AD14" s="38">
        <f t="shared" si="4"/>
        <v>8.396896930507966</v>
      </c>
      <c r="AE14" s="38">
        <f t="shared" si="4"/>
        <v>8.225522083419358</v>
      </c>
    </row>
    <row r="15" spans="3:31" ht="12.75">
      <c r="C15" s="20" t="s">
        <v>139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3:31" ht="12.75">
      <c r="C16" s="5" t="s">
        <v>140</v>
      </c>
      <c r="D16" s="5" t="str">
        <f>D14</f>
        <v>Rs. Crores</v>
      </c>
      <c r="E16" s="14"/>
      <c r="F16" s="14"/>
      <c r="G16" s="14"/>
      <c r="H16" s="14"/>
      <c r="I16" s="14"/>
      <c r="J16" s="14"/>
      <c r="K16" s="14"/>
      <c r="L16" s="14"/>
      <c r="M16" s="1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f>Depreciation!AE20</f>
        <v>14.17489703571419</v>
      </c>
    </row>
    <row r="17" spans="3:31" ht="12.75">
      <c r="C17" s="5" t="s">
        <v>141</v>
      </c>
      <c r="D17" s="5" t="str">
        <f>D16</f>
        <v>Rs. Crores</v>
      </c>
      <c r="E17" s="14"/>
      <c r="F17" s="14"/>
      <c r="G17" s="14"/>
      <c r="H17" s="14"/>
      <c r="I17" s="14"/>
      <c r="J17" s="14"/>
      <c r="K17" s="14"/>
      <c r="L17" s="14"/>
      <c r="M17" s="14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f>-SUM(E7:AE7)</f>
        <v>1.818463382225251</v>
      </c>
    </row>
    <row r="18" spans="3:31" s="1" customFormat="1" ht="12.75">
      <c r="C18" s="20" t="s">
        <v>142</v>
      </c>
      <c r="D18" s="20" t="str">
        <f>D17</f>
        <v>Rs. Crores</v>
      </c>
      <c r="E18" s="38">
        <f aca="true" t="shared" si="5" ref="E18:Q18">SUM(E16:E17)</f>
        <v>0</v>
      </c>
      <c r="F18" s="38">
        <f t="shared" si="5"/>
        <v>0</v>
      </c>
      <c r="G18" s="3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38">
        <f t="shared" si="5"/>
        <v>0</v>
      </c>
      <c r="O18" s="38">
        <f t="shared" si="5"/>
        <v>0</v>
      </c>
      <c r="P18" s="38">
        <f t="shared" si="5"/>
        <v>0</v>
      </c>
      <c r="Q18" s="38">
        <f t="shared" si="5"/>
        <v>0</v>
      </c>
      <c r="R18" s="38">
        <f aca="true" t="shared" si="6" ref="R18:AE18">SUM(R16:R17)</f>
        <v>0</v>
      </c>
      <c r="S18" s="38">
        <f t="shared" si="6"/>
        <v>0</v>
      </c>
      <c r="T18" s="38">
        <f t="shared" si="6"/>
        <v>0</v>
      </c>
      <c r="U18" s="38">
        <f t="shared" si="6"/>
        <v>0</v>
      </c>
      <c r="V18" s="38">
        <f t="shared" si="6"/>
        <v>0</v>
      </c>
      <c r="W18" s="38">
        <f t="shared" si="6"/>
        <v>0</v>
      </c>
      <c r="X18" s="38">
        <f t="shared" si="6"/>
        <v>0</v>
      </c>
      <c r="Y18" s="38">
        <f t="shared" si="6"/>
        <v>0</v>
      </c>
      <c r="Z18" s="38">
        <f t="shared" si="6"/>
        <v>0</v>
      </c>
      <c r="AA18" s="38">
        <f t="shared" si="6"/>
        <v>0</v>
      </c>
      <c r="AB18" s="38">
        <f t="shared" si="6"/>
        <v>0</v>
      </c>
      <c r="AC18" s="38">
        <f t="shared" si="6"/>
        <v>0</v>
      </c>
      <c r="AD18" s="38">
        <f t="shared" si="6"/>
        <v>0</v>
      </c>
      <c r="AE18" s="38">
        <f t="shared" si="6"/>
        <v>15.993360417939442</v>
      </c>
    </row>
    <row r="19" spans="3:31" s="1" customFormat="1" ht="12.75">
      <c r="C19" s="20" t="s">
        <v>143</v>
      </c>
      <c r="D19" s="20" t="str">
        <f>D18</f>
        <v>Rs. Crores</v>
      </c>
      <c r="E19" s="38">
        <f aca="true" t="shared" si="7" ref="E19:Q19">E18+E14+E8</f>
        <v>-18.47430071744402</v>
      </c>
      <c r="F19" s="38">
        <f t="shared" si="7"/>
        <v>-37.63046638077823</v>
      </c>
      <c r="G19" s="38">
        <f t="shared" si="7"/>
        <v>-2.286632996821309</v>
      </c>
      <c r="H19" s="28">
        <f t="shared" si="7"/>
        <v>11.26811060305003</v>
      </c>
      <c r="I19" s="28">
        <f t="shared" si="7"/>
        <v>11.93812126415473</v>
      </c>
      <c r="J19" s="28">
        <f t="shared" si="7"/>
        <v>10.441648464245413</v>
      </c>
      <c r="K19" s="28">
        <f t="shared" si="7"/>
        <v>12.607550040845947</v>
      </c>
      <c r="L19" s="28">
        <f t="shared" si="7"/>
        <v>12.412533935155668</v>
      </c>
      <c r="M19" s="28">
        <f t="shared" si="7"/>
        <v>8.620523699076617</v>
      </c>
      <c r="N19" s="38">
        <f t="shared" si="7"/>
        <v>11.914141764442219</v>
      </c>
      <c r="O19" s="38">
        <f t="shared" si="7"/>
        <v>11.449500921794344</v>
      </c>
      <c r="P19" s="38">
        <f t="shared" si="7"/>
        <v>6.53087129437499</v>
      </c>
      <c r="Q19" s="38">
        <f t="shared" si="7"/>
        <v>10.507837688627074</v>
      </c>
      <c r="R19" s="38">
        <f aca="true" t="shared" si="8" ref="R19:AE19">R18+R14+R8</f>
        <v>10.317382438617113</v>
      </c>
      <c r="S19" s="38">
        <f t="shared" si="8"/>
        <v>6.513514505297217</v>
      </c>
      <c r="T19" s="38">
        <f t="shared" si="8"/>
        <v>9.754273137488811</v>
      </c>
      <c r="U19" s="38">
        <f t="shared" si="8"/>
        <v>9.833542241384027</v>
      </c>
      <c r="V19" s="38">
        <f t="shared" si="8"/>
        <v>7.72588730861355</v>
      </c>
      <c r="W19" s="38">
        <f t="shared" si="8"/>
        <v>9.653636506455367</v>
      </c>
      <c r="X19" s="38">
        <f t="shared" si="8"/>
        <v>9.482562761944948</v>
      </c>
      <c r="Y19" s="38">
        <f t="shared" si="8"/>
        <v>3.469669076173547</v>
      </c>
      <c r="Z19" s="38">
        <f t="shared" si="8"/>
        <v>9.138892379364972</v>
      </c>
      <c r="AA19" s="38">
        <f t="shared" si="8"/>
        <v>8.94997926085221</v>
      </c>
      <c r="AB19" s="38">
        <f t="shared" si="8"/>
        <v>6.6709578510548395</v>
      </c>
      <c r="AC19" s="38">
        <f t="shared" si="8"/>
        <v>8.587138184518555</v>
      </c>
      <c r="AD19" s="38">
        <f t="shared" si="8"/>
        <v>8.136972117645378</v>
      </c>
      <c r="AE19" s="38">
        <f t="shared" si="8"/>
        <v>24.209663634510683</v>
      </c>
    </row>
    <row r="20" spans="3:31" ht="12.75">
      <c r="C20" s="5" t="s">
        <v>144</v>
      </c>
      <c r="D20" s="5" t="str">
        <f>D19</f>
        <v>Rs. Crores</v>
      </c>
      <c r="E20" s="43">
        <f>NPV(E22,E19:AE19)</f>
        <v>25.94840416282818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3:31" ht="12.75">
      <c r="C21" s="5" t="s">
        <v>145</v>
      </c>
      <c r="D21" s="5" t="s">
        <v>10</v>
      </c>
      <c r="E21" s="41">
        <f>IRR(E19:AE19)</f>
        <v>0.1459934765577604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3:31" ht="12.75">
      <c r="C22" s="5" t="s">
        <v>146</v>
      </c>
      <c r="D22" s="5" t="s">
        <v>10</v>
      </c>
      <c r="E22" s="41">
        <f>Input!E103</f>
        <v>0.09141854399040988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ht="12.75">
      <c r="E23" s="9">
        <f>E21-E22</f>
        <v>0.05457493256735052</v>
      </c>
    </row>
    <row r="24" ht="12.75">
      <c r="C24" s="1" t="s">
        <v>148</v>
      </c>
    </row>
    <row r="26" spans="3:31" ht="12.75">
      <c r="C26" s="59" t="s">
        <v>1</v>
      </c>
      <c r="D26" s="59" t="s">
        <v>2</v>
      </c>
      <c r="E26" s="60">
        <f>E4</f>
        <v>44651</v>
      </c>
      <c r="F26" s="60">
        <f aca="true" t="shared" si="9" ref="F26:Q26">F4</f>
        <v>45016</v>
      </c>
      <c r="G26" s="60">
        <f t="shared" si="9"/>
        <v>45382</v>
      </c>
      <c r="H26" s="60">
        <f t="shared" si="9"/>
        <v>45747</v>
      </c>
      <c r="I26" s="60">
        <f t="shared" si="9"/>
        <v>46112</v>
      </c>
      <c r="J26" s="60">
        <f t="shared" si="9"/>
        <v>46477</v>
      </c>
      <c r="K26" s="60">
        <f t="shared" si="9"/>
        <v>46843</v>
      </c>
      <c r="L26" s="60">
        <f t="shared" si="9"/>
        <v>47208</v>
      </c>
      <c r="M26" s="60">
        <f t="shared" si="9"/>
        <v>47573</v>
      </c>
      <c r="N26" s="60">
        <f t="shared" si="9"/>
        <v>47938</v>
      </c>
      <c r="O26" s="60">
        <f t="shared" si="9"/>
        <v>48304</v>
      </c>
      <c r="P26" s="60">
        <f t="shared" si="9"/>
        <v>48669</v>
      </c>
      <c r="Q26" s="60">
        <f t="shared" si="9"/>
        <v>49034</v>
      </c>
      <c r="R26" s="60">
        <f aca="true" t="shared" si="10" ref="R26:AE26">R4</f>
        <v>49399</v>
      </c>
      <c r="S26" s="60">
        <f t="shared" si="10"/>
        <v>49765</v>
      </c>
      <c r="T26" s="60">
        <f t="shared" si="10"/>
        <v>50130</v>
      </c>
      <c r="U26" s="60">
        <f t="shared" si="10"/>
        <v>50495</v>
      </c>
      <c r="V26" s="60">
        <f t="shared" si="10"/>
        <v>50860</v>
      </c>
      <c r="W26" s="60">
        <f t="shared" si="10"/>
        <v>51226</v>
      </c>
      <c r="X26" s="60">
        <f t="shared" si="10"/>
        <v>51591</v>
      </c>
      <c r="Y26" s="60">
        <f t="shared" si="10"/>
        <v>51956</v>
      </c>
      <c r="Z26" s="60">
        <f t="shared" si="10"/>
        <v>52321</v>
      </c>
      <c r="AA26" s="60">
        <f t="shared" si="10"/>
        <v>52687</v>
      </c>
      <c r="AB26" s="60">
        <f t="shared" si="10"/>
        <v>53052</v>
      </c>
      <c r="AC26" s="60">
        <f t="shared" si="10"/>
        <v>53417</v>
      </c>
      <c r="AD26" s="60">
        <f t="shared" si="10"/>
        <v>53782</v>
      </c>
      <c r="AE26" s="60">
        <f t="shared" si="10"/>
        <v>54148</v>
      </c>
    </row>
    <row r="27" spans="3:31" ht="12.75">
      <c r="C27" s="5" t="s">
        <v>124</v>
      </c>
      <c r="D27" s="5" t="str">
        <f>D20</f>
        <v>Rs. Crores</v>
      </c>
      <c r="E27" s="14">
        <f>'P&amp;L'!E30</f>
        <v>0</v>
      </c>
      <c r="F27" s="14">
        <f>'P&amp;L'!F30</f>
        <v>0</v>
      </c>
      <c r="G27" s="14">
        <f>'P&amp;L'!G30</f>
        <v>5.855288333721521</v>
      </c>
      <c r="H27" s="14">
        <f>'P&amp;L'!H30</f>
        <v>4.603459543266244</v>
      </c>
      <c r="I27" s="14">
        <f>'P&amp;L'!I30</f>
        <v>5.757117854659246</v>
      </c>
      <c r="J27" s="14">
        <f>'P&amp;L'!J30</f>
        <v>6.764662727406638</v>
      </c>
      <c r="K27" s="14">
        <f>'P&amp;L'!K30</f>
        <v>7.077929244627166</v>
      </c>
      <c r="L27" s="14">
        <f>'P&amp;L'!L30</f>
        <v>7.383360028452249</v>
      </c>
      <c r="M27" s="14">
        <f>'P&amp;L'!M30</f>
        <v>7.459772453283538</v>
      </c>
      <c r="N27" s="14">
        <f>'P&amp;L'!N30</f>
        <v>7.745587283334297</v>
      </c>
      <c r="O27" s="14">
        <f>'P&amp;L'!O30</f>
        <v>7.898326475812436</v>
      </c>
      <c r="P27" s="14">
        <f>'P&amp;L'!P30</f>
        <v>7.319114080998126</v>
      </c>
      <c r="Q27" s="14">
        <f>'P&amp;L'!Q30</f>
        <v>7.717724473262759</v>
      </c>
      <c r="R27" s="14">
        <f>'P&amp;L'!R30</f>
        <v>7.657415314021347</v>
      </c>
      <c r="S27" s="14">
        <f>'P&amp;L'!S30</f>
        <v>7.227628670345931</v>
      </c>
      <c r="T27" s="14">
        <f>'P&amp;L'!T30</f>
        <v>7.1966711176562335</v>
      </c>
      <c r="U27" s="14">
        <f>'P&amp;L'!U30</f>
        <v>7.0279394724204725</v>
      </c>
      <c r="V27" s="14">
        <f>'P&amp;L'!V30</f>
        <v>6.844918729024405</v>
      </c>
      <c r="W27" s="14">
        <f>'P&amp;L'!W30</f>
        <v>6.765791028674295</v>
      </c>
      <c r="X27" s="14">
        <f>'P&amp;L'!X30</f>
        <v>6.597271636687653</v>
      </c>
      <c r="Y27" s="14">
        <f>'P&amp;L'!Y30</f>
        <v>5.984446955942505</v>
      </c>
      <c r="Z27" s="14">
        <f>'P&amp;L'!Z30</f>
        <v>6.028441833027709</v>
      </c>
      <c r="AA27" s="14">
        <f>'P&amp;L'!AA30</f>
        <v>5.842587547018779</v>
      </c>
      <c r="AB27" s="14">
        <f>'P&amp;L'!AB30</f>
        <v>5.494939576057433</v>
      </c>
      <c r="AC27" s="14">
        <f>'P&amp;L'!AC30</f>
        <v>5.402558165943457</v>
      </c>
      <c r="AD27" s="14">
        <f>'P&amp;L'!AD30</f>
        <v>5.196456216758077</v>
      </c>
      <c r="AE27" s="14">
        <f>'P&amp;L'!AE30</f>
        <v>5.02700251248509</v>
      </c>
    </row>
    <row r="28" spans="3:31" ht="12.75">
      <c r="C28" s="5" t="s">
        <v>76</v>
      </c>
      <c r="D28" s="5" t="str">
        <f>D27</f>
        <v>Rs. Crores</v>
      </c>
      <c r="E28" s="14">
        <f>'P&amp;L'!E22</f>
        <v>0</v>
      </c>
      <c r="F28" s="14">
        <f>'P&amp;L'!F22</f>
        <v>0</v>
      </c>
      <c r="G28" s="14">
        <f>'P&amp;L'!G22</f>
        <v>2.0233009949999996</v>
      </c>
      <c r="H28" s="14">
        <f>'P&amp;L'!H22</f>
        <v>2.0233009949999996</v>
      </c>
      <c r="I28" s="14">
        <f>'P&amp;L'!I22</f>
        <v>2.0233009949999996</v>
      </c>
      <c r="J28" s="14">
        <f>'P&amp;L'!J22</f>
        <v>2.1073009949999997</v>
      </c>
      <c r="K28" s="14">
        <f>'P&amp;L'!K22</f>
        <v>2.1073009949999997</v>
      </c>
      <c r="L28" s="14">
        <f>'P&amp;L'!L22</f>
        <v>2.1073009949999997</v>
      </c>
      <c r="M28" s="14">
        <f>'P&amp;L'!M22</f>
        <v>2.247300995</v>
      </c>
      <c r="N28" s="14">
        <f>'P&amp;L'!N22</f>
        <v>2.247300995</v>
      </c>
      <c r="O28" s="14">
        <f>'P&amp;L'!O22</f>
        <v>2.251300995</v>
      </c>
      <c r="P28" s="14">
        <f>'P&amp;L'!P22</f>
        <v>2.411300995</v>
      </c>
      <c r="Q28" s="14">
        <f>'P&amp;L'!Q22</f>
        <v>2.411300995</v>
      </c>
      <c r="R28" s="14">
        <f>'P&amp;L'!R22</f>
        <v>2.411300995</v>
      </c>
      <c r="S28" s="14">
        <f>'P&amp;L'!S22</f>
        <v>2.5513009949999996</v>
      </c>
      <c r="T28" s="14">
        <f>'P&amp;L'!T22</f>
        <v>2.561300995</v>
      </c>
      <c r="U28" s="14">
        <f>'P&amp;L'!U22</f>
        <v>2.561300995</v>
      </c>
      <c r="V28" s="14">
        <f>'P&amp;L'!V22</f>
        <v>2.641300995</v>
      </c>
      <c r="W28" s="14">
        <f>'P&amp;L'!W22</f>
        <v>2.641300995</v>
      </c>
      <c r="X28" s="14">
        <f>'P&amp;L'!X22</f>
        <v>2.641300995</v>
      </c>
      <c r="Y28" s="14">
        <f>'P&amp;L'!Y22</f>
        <v>2.8653009949999997</v>
      </c>
      <c r="Z28" s="14">
        <f>'P&amp;L'!Z22</f>
        <v>2.8653009949999997</v>
      </c>
      <c r="AA28" s="14">
        <f>'P&amp;L'!AA22</f>
        <v>2.8653009949999997</v>
      </c>
      <c r="AB28" s="14">
        <f>'P&amp;L'!AB22</f>
        <v>2.9453009949999998</v>
      </c>
      <c r="AC28" s="14">
        <f>'P&amp;L'!AC22</f>
        <v>2.9453009949999998</v>
      </c>
      <c r="AD28" s="14">
        <f>'P&amp;L'!AD22</f>
        <v>2.9553009949999995</v>
      </c>
      <c r="AE28" s="14">
        <f>'P&amp;L'!AE22</f>
        <v>2.9553009949999995</v>
      </c>
    </row>
    <row r="29" spans="3:31" ht="12.75">
      <c r="C29" s="5" t="s">
        <v>89</v>
      </c>
      <c r="D29" s="5" t="str">
        <f>D28</f>
        <v>Rs. Crores</v>
      </c>
      <c r="E29" s="14">
        <f>'P&amp;L'!E25</f>
        <v>0</v>
      </c>
      <c r="F29" s="14">
        <f>'P&amp;L'!F25</f>
        <v>0</v>
      </c>
      <c r="G29" s="14">
        <f>'P&amp;L'!G25</f>
        <v>0</v>
      </c>
      <c r="H29" s="14">
        <f>'P&amp;L'!H25</f>
        <v>0</v>
      </c>
      <c r="I29" s="14">
        <f>'P&amp;L'!I25</f>
        <v>0</v>
      </c>
      <c r="J29" s="14">
        <f>'P&amp;L'!J25</f>
        <v>0</v>
      </c>
      <c r="K29" s="14">
        <f>'P&amp;L'!K25</f>
        <v>0</v>
      </c>
      <c r="L29" s="14">
        <f>'P&amp;L'!L25</f>
        <v>0</v>
      </c>
      <c r="M29" s="14">
        <f>'P&amp;L'!M25</f>
        <v>0</v>
      </c>
      <c r="N29" s="14">
        <f>'P&amp;L'!N25</f>
        <v>0</v>
      </c>
      <c r="O29" s="14">
        <f>'P&amp;L'!O25</f>
        <v>0</v>
      </c>
      <c r="P29" s="14">
        <f>'P&amp;L'!P25</f>
        <v>0</v>
      </c>
      <c r="Q29" s="14">
        <f>'P&amp;L'!Q25</f>
        <v>0</v>
      </c>
      <c r="R29" s="14">
        <f>'P&amp;L'!R25</f>
        <v>0</v>
      </c>
      <c r="S29" s="14">
        <f>'P&amp;L'!S25</f>
        <v>0</v>
      </c>
      <c r="T29" s="14">
        <f>'P&amp;L'!T25</f>
        <v>0</v>
      </c>
      <c r="U29" s="14">
        <f>'P&amp;L'!U25</f>
        <v>0</v>
      </c>
      <c r="V29" s="14">
        <f>'P&amp;L'!V25</f>
        <v>0</v>
      </c>
      <c r="W29" s="14">
        <f>'P&amp;L'!W25</f>
        <v>0</v>
      </c>
      <c r="X29" s="14">
        <f>'P&amp;L'!X25</f>
        <v>0</v>
      </c>
      <c r="Y29" s="14">
        <f>'P&amp;L'!Y25</f>
        <v>0</v>
      </c>
      <c r="Z29" s="14">
        <f>'P&amp;L'!Z25</f>
        <v>0</v>
      </c>
      <c r="AA29" s="14">
        <f>'P&amp;L'!AA25</f>
        <v>0</v>
      </c>
      <c r="AB29" s="14">
        <f>'P&amp;L'!AB25</f>
        <v>0</v>
      </c>
      <c r="AC29" s="14">
        <f>'P&amp;L'!AC25</f>
        <v>0</v>
      </c>
      <c r="AD29" s="14">
        <f>'P&amp;L'!AD25</f>
        <v>0</v>
      </c>
      <c r="AE29" s="14">
        <f>'P&amp;L'!AE25</f>
        <v>0</v>
      </c>
    </row>
    <row r="30" spans="3:31" ht="12.75">
      <c r="C30" s="5" t="s">
        <v>87</v>
      </c>
      <c r="D30" s="5" t="str">
        <f>D29</f>
        <v>Rs. Crores</v>
      </c>
      <c r="E30" s="14">
        <f>'P&amp;L'!E23</f>
        <v>0</v>
      </c>
      <c r="F30" s="14">
        <f>'P&amp;L'!F23</f>
        <v>0</v>
      </c>
      <c r="G30" s="14">
        <f>'P&amp;L'!G23</f>
        <v>3.0717139393271458</v>
      </c>
      <c r="H30" s="14">
        <f>'P&amp;L'!H23</f>
        <v>5.828380295133558</v>
      </c>
      <c r="I30" s="14">
        <f>'P&amp;L'!I23</f>
        <v>5.198285128092092</v>
      </c>
      <c r="J30" s="14">
        <f>'P&amp;L'!J23</f>
        <v>4.568189961050624</v>
      </c>
      <c r="K30" s="14">
        <f>'P&amp;L'!K23</f>
        <v>3.938094794009159</v>
      </c>
      <c r="L30" s="14">
        <f>'P&amp;L'!L23</f>
        <v>3.3079996269676917</v>
      </c>
      <c r="M30" s="14">
        <f>'P&amp;L'!M23</f>
        <v>2.677904459926226</v>
      </c>
      <c r="N30" s="14">
        <f>'P&amp;L'!N23</f>
        <v>2.047809292884759</v>
      </c>
      <c r="O30" s="14">
        <f>'P&amp;L'!O23</f>
        <v>1.4177141258432933</v>
      </c>
      <c r="P30" s="14">
        <f>'P&amp;L'!P23</f>
        <v>0.7876189588018275</v>
      </c>
      <c r="Q30" s="14">
        <f>'P&amp;L'!Q23</f>
        <v>0.17721426573040933</v>
      </c>
      <c r="R30" s="14">
        <f>'P&amp;L'!R23</f>
        <v>0</v>
      </c>
      <c r="S30" s="14">
        <f>'P&amp;L'!S23</f>
        <v>0</v>
      </c>
      <c r="T30" s="14">
        <f>'P&amp;L'!T23</f>
        <v>0</v>
      </c>
      <c r="U30" s="14">
        <f>'P&amp;L'!U23</f>
        <v>0</v>
      </c>
      <c r="V30" s="14">
        <f>'P&amp;L'!V23</f>
        <v>0</v>
      </c>
      <c r="W30" s="14">
        <f>'P&amp;L'!W23</f>
        <v>0</v>
      </c>
      <c r="X30" s="14">
        <f>'P&amp;L'!X23</f>
        <v>0</v>
      </c>
      <c r="Y30" s="14">
        <f>'P&amp;L'!Y23</f>
        <v>0</v>
      </c>
      <c r="Z30" s="14">
        <f>'P&amp;L'!Z23</f>
        <v>0</v>
      </c>
      <c r="AA30" s="14">
        <f>'P&amp;L'!AA23</f>
        <v>0</v>
      </c>
      <c r="AB30" s="14">
        <f>'P&amp;L'!AB23</f>
        <v>0</v>
      </c>
      <c r="AC30" s="14">
        <f>'P&amp;L'!AC23</f>
        <v>0</v>
      </c>
      <c r="AD30" s="14">
        <f>'P&amp;L'!AD23</f>
        <v>0</v>
      </c>
      <c r="AE30" s="14">
        <f>'P&amp;L'!AE23</f>
        <v>0</v>
      </c>
    </row>
    <row r="31" spans="3:31" s="1" customFormat="1" ht="12.75">
      <c r="C31" s="20" t="s">
        <v>49</v>
      </c>
      <c r="D31" s="20" t="str">
        <f>D30</f>
        <v>Rs. Crores</v>
      </c>
      <c r="E31" s="28">
        <f aca="true" t="shared" si="11" ref="E31:Q31">SUM(E27:E30)</f>
        <v>0</v>
      </c>
      <c r="F31" s="28">
        <f t="shared" si="11"/>
        <v>0</v>
      </c>
      <c r="G31" s="28">
        <f t="shared" si="11"/>
        <v>10.950303268048668</v>
      </c>
      <c r="H31" s="28">
        <f t="shared" si="11"/>
        <v>12.455140833399803</v>
      </c>
      <c r="I31" s="28">
        <f t="shared" si="11"/>
        <v>12.978703977751337</v>
      </c>
      <c r="J31" s="28">
        <f t="shared" si="11"/>
        <v>13.440153683457263</v>
      </c>
      <c r="K31" s="28">
        <f t="shared" si="11"/>
        <v>13.123325033636323</v>
      </c>
      <c r="L31" s="28">
        <f t="shared" si="11"/>
        <v>12.79866065041994</v>
      </c>
      <c r="M31" s="28">
        <f t="shared" si="11"/>
        <v>12.384977908209763</v>
      </c>
      <c r="N31" s="28">
        <f t="shared" si="11"/>
        <v>12.040697571219056</v>
      </c>
      <c r="O31" s="28">
        <f t="shared" si="11"/>
        <v>11.567341596655728</v>
      </c>
      <c r="P31" s="28">
        <f t="shared" si="11"/>
        <v>10.518034034799953</v>
      </c>
      <c r="Q31" s="28">
        <f t="shared" si="11"/>
        <v>10.306239733993168</v>
      </c>
      <c r="R31" s="28">
        <f aca="true" t="shared" si="12" ref="R31:AE31">SUM(R27:R30)</f>
        <v>10.068716309021347</v>
      </c>
      <c r="S31" s="28">
        <f t="shared" si="12"/>
        <v>9.778929665345931</v>
      </c>
      <c r="T31" s="28">
        <f t="shared" si="12"/>
        <v>9.757972112656233</v>
      </c>
      <c r="U31" s="28">
        <f t="shared" si="12"/>
        <v>9.589240467420472</v>
      </c>
      <c r="V31" s="28">
        <f t="shared" si="12"/>
        <v>9.486219724024405</v>
      </c>
      <c r="W31" s="28">
        <f t="shared" si="12"/>
        <v>9.407092023674295</v>
      </c>
      <c r="X31" s="28">
        <f t="shared" si="12"/>
        <v>9.238572631687653</v>
      </c>
      <c r="Y31" s="28">
        <f t="shared" si="12"/>
        <v>8.849747950942504</v>
      </c>
      <c r="Z31" s="28">
        <f t="shared" si="12"/>
        <v>8.893742828027708</v>
      </c>
      <c r="AA31" s="28">
        <f t="shared" si="12"/>
        <v>8.707888542018779</v>
      </c>
      <c r="AB31" s="28">
        <f t="shared" si="12"/>
        <v>8.440240571057434</v>
      </c>
      <c r="AC31" s="28">
        <f t="shared" si="12"/>
        <v>8.347859160943457</v>
      </c>
      <c r="AD31" s="28">
        <f t="shared" si="12"/>
        <v>8.151757211758076</v>
      </c>
      <c r="AE31" s="28">
        <f t="shared" si="12"/>
        <v>7.98230350748509</v>
      </c>
    </row>
    <row r="32" spans="3:31" ht="12.75">
      <c r="C32" s="5"/>
      <c r="D32" s="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3:31" ht="12.75">
      <c r="C33" s="5" t="s">
        <v>87</v>
      </c>
      <c r="D33" s="5" t="str">
        <f>D31</f>
        <v>Rs. Crores</v>
      </c>
      <c r="E33" s="14">
        <f aca="true" t="shared" si="13" ref="E33:Q33">E30</f>
        <v>0</v>
      </c>
      <c r="F33" s="14">
        <f t="shared" si="13"/>
        <v>0</v>
      </c>
      <c r="G33" s="14">
        <f t="shared" si="13"/>
        <v>3.0717139393271458</v>
      </c>
      <c r="H33" s="14">
        <f t="shared" si="13"/>
        <v>5.828380295133558</v>
      </c>
      <c r="I33" s="14">
        <f t="shared" si="13"/>
        <v>5.198285128092092</v>
      </c>
      <c r="J33" s="14">
        <f t="shared" si="13"/>
        <v>4.568189961050624</v>
      </c>
      <c r="K33" s="14">
        <f t="shared" si="13"/>
        <v>3.938094794009159</v>
      </c>
      <c r="L33" s="14">
        <f t="shared" si="13"/>
        <v>3.3079996269676917</v>
      </c>
      <c r="M33" s="14">
        <f t="shared" si="13"/>
        <v>2.677904459926226</v>
      </c>
      <c r="N33" s="14">
        <f t="shared" si="13"/>
        <v>2.047809292884759</v>
      </c>
      <c r="O33" s="14">
        <f t="shared" si="13"/>
        <v>1.4177141258432933</v>
      </c>
      <c r="P33" s="14">
        <f t="shared" si="13"/>
        <v>0.7876189588018275</v>
      </c>
      <c r="Q33" s="14">
        <f t="shared" si="13"/>
        <v>0.17721426573040933</v>
      </c>
      <c r="R33" s="14">
        <f aca="true" t="shared" si="14" ref="R33:AE33">R30</f>
        <v>0</v>
      </c>
      <c r="S33" s="14">
        <f t="shared" si="14"/>
        <v>0</v>
      </c>
      <c r="T33" s="14">
        <f t="shared" si="14"/>
        <v>0</v>
      </c>
      <c r="U33" s="14">
        <f t="shared" si="14"/>
        <v>0</v>
      </c>
      <c r="V33" s="14">
        <f t="shared" si="14"/>
        <v>0</v>
      </c>
      <c r="W33" s="14">
        <f t="shared" si="14"/>
        <v>0</v>
      </c>
      <c r="X33" s="14">
        <f t="shared" si="14"/>
        <v>0</v>
      </c>
      <c r="Y33" s="14">
        <f t="shared" si="14"/>
        <v>0</v>
      </c>
      <c r="Z33" s="14">
        <f t="shared" si="14"/>
        <v>0</v>
      </c>
      <c r="AA33" s="14">
        <f t="shared" si="14"/>
        <v>0</v>
      </c>
      <c r="AB33" s="14">
        <f t="shared" si="14"/>
        <v>0</v>
      </c>
      <c r="AC33" s="14">
        <f t="shared" si="14"/>
        <v>0</v>
      </c>
      <c r="AD33" s="14">
        <f t="shared" si="14"/>
        <v>0</v>
      </c>
      <c r="AE33" s="14">
        <f t="shared" si="14"/>
        <v>0</v>
      </c>
    </row>
    <row r="34" spans="3:31" ht="12.75">
      <c r="C34" s="5" t="s">
        <v>149</v>
      </c>
      <c r="D34" s="5" t="str">
        <f>D33</f>
        <v>Rs. Crores</v>
      </c>
      <c r="E34" s="14">
        <f>Interest!E9</f>
        <v>0</v>
      </c>
      <c r="F34" s="14">
        <f>Interest!F9</f>
        <v>0</v>
      </c>
      <c r="G34" s="14">
        <f>Interest!G9</f>
        <v>0</v>
      </c>
      <c r="H34" s="14">
        <f>Interest!H9</f>
        <v>6.000906352775865</v>
      </c>
      <c r="I34" s="14">
        <f>Interest!I9</f>
        <v>6.000906352775865</v>
      </c>
      <c r="J34" s="14">
        <f>Interest!J9</f>
        <v>6.000906352775865</v>
      </c>
      <c r="K34" s="14">
        <f>Interest!K9</f>
        <v>6.000906352775865</v>
      </c>
      <c r="L34" s="14">
        <f>Interest!L9</f>
        <v>6.000906352775865</v>
      </c>
      <c r="M34" s="14">
        <f>Interest!M9</f>
        <v>6.000906352775865</v>
      </c>
      <c r="N34" s="14">
        <f>Interest!N9</f>
        <v>6.000906352775865</v>
      </c>
      <c r="O34" s="14">
        <f>Interest!O9</f>
        <v>6.000906352775865</v>
      </c>
      <c r="P34" s="14">
        <f>Interest!P9</f>
        <v>6.000906352775865</v>
      </c>
      <c r="Q34" s="14">
        <f>Interest!Q9</f>
        <v>4.500679764581854</v>
      </c>
      <c r="R34" s="14">
        <f>Interest!R9</f>
        <v>0</v>
      </c>
      <c r="S34" s="14">
        <f>Interest!S9</f>
        <v>0</v>
      </c>
      <c r="T34" s="14">
        <f>Interest!T9</f>
        <v>0</v>
      </c>
      <c r="U34" s="14">
        <f>Interest!U9</f>
        <v>0</v>
      </c>
      <c r="V34" s="14">
        <f>Interest!V9</f>
        <v>0</v>
      </c>
      <c r="W34" s="14">
        <f>Interest!W9</f>
        <v>0</v>
      </c>
      <c r="X34" s="14">
        <f>Interest!X9</f>
        <v>0</v>
      </c>
      <c r="Y34" s="14">
        <f>Interest!Y9</f>
        <v>0</v>
      </c>
      <c r="Z34" s="14">
        <f>Interest!Z9</f>
        <v>0</v>
      </c>
      <c r="AA34" s="14">
        <f>Interest!AA9</f>
        <v>0</v>
      </c>
      <c r="AB34" s="14">
        <f>Interest!AB9</f>
        <v>0</v>
      </c>
      <c r="AC34" s="14">
        <f>Interest!AC9</f>
        <v>0</v>
      </c>
      <c r="AD34" s="14">
        <f>Interest!AD9</f>
        <v>0</v>
      </c>
      <c r="AE34" s="14">
        <f>Interest!AE9</f>
        <v>0</v>
      </c>
    </row>
    <row r="35" spans="3:31" s="1" customFormat="1" ht="12.75">
      <c r="C35" s="20" t="s">
        <v>49</v>
      </c>
      <c r="D35" s="20" t="str">
        <f>D34</f>
        <v>Rs. Crores</v>
      </c>
      <c r="E35" s="28">
        <f aca="true" t="shared" si="15" ref="E35:Q35">SUM(E33:E34)</f>
        <v>0</v>
      </c>
      <c r="F35" s="28">
        <f t="shared" si="15"/>
        <v>0</v>
      </c>
      <c r="G35" s="28">
        <f t="shared" si="15"/>
        <v>3.0717139393271458</v>
      </c>
      <c r="H35" s="28">
        <f t="shared" si="15"/>
        <v>11.829286647909424</v>
      </c>
      <c r="I35" s="28">
        <f t="shared" si="15"/>
        <v>11.199191480867956</v>
      </c>
      <c r="J35" s="28">
        <f t="shared" si="15"/>
        <v>10.569096313826488</v>
      </c>
      <c r="K35" s="28">
        <f t="shared" si="15"/>
        <v>9.939001146785024</v>
      </c>
      <c r="L35" s="28">
        <f t="shared" si="15"/>
        <v>9.308905979743557</v>
      </c>
      <c r="M35" s="28">
        <f t="shared" si="15"/>
        <v>8.67881081270209</v>
      </c>
      <c r="N35" s="28">
        <f t="shared" si="15"/>
        <v>8.048715645660625</v>
      </c>
      <c r="O35" s="28">
        <f t="shared" si="15"/>
        <v>7.418620478619158</v>
      </c>
      <c r="P35" s="28">
        <f t="shared" si="15"/>
        <v>6.7885253115776925</v>
      </c>
      <c r="Q35" s="28">
        <f t="shared" si="15"/>
        <v>4.677894030312263</v>
      </c>
      <c r="R35" s="28">
        <f aca="true" t="shared" si="16" ref="R35:AE35">SUM(R33:R34)</f>
        <v>0</v>
      </c>
      <c r="S35" s="28">
        <f t="shared" si="16"/>
        <v>0</v>
      </c>
      <c r="T35" s="28">
        <f t="shared" si="16"/>
        <v>0</v>
      </c>
      <c r="U35" s="28">
        <f t="shared" si="16"/>
        <v>0</v>
      </c>
      <c r="V35" s="28">
        <f t="shared" si="16"/>
        <v>0</v>
      </c>
      <c r="W35" s="28">
        <f t="shared" si="16"/>
        <v>0</v>
      </c>
      <c r="X35" s="28">
        <f t="shared" si="16"/>
        <v>0</v>
      </c>
      <c r="Y35" s="28">
        <f t="shared" si="16"/>
        <v>0</v>
      </c>
      <c r="Z35" s="28">
        <f t="shared" si="16"/>
        <v>0</v>
      </c>
      <c r="AA35" s="28">
        <f t="shared" si="16"/>
        <v>0</v>
      </c>
      <c r="AB35" s="28">
        <f t="shared" si="16"/>
        <v>0</v>
      </c>
      <c r="AC35" s="28">
        <f t="shared" si="16"/>
        <v>0</v>
      </c>
      <c r="AD35" s="28">
        <f t="shared" si="16"/>
        <v>0</v>
      </c>
      <c r="AE35" s="28">
        <f t="shared" si="16"/>
        <v>0</v>
      </c>
    </row>
    <row r="36" spans="3:31" ht="12.75">
      <c r="C36" s="5"/>
      <c r="D36" s="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3:31" ht="12.75">
      <c r="C37" s="5" t="s">
        <v>148</v>
      </c>
      <c r="D37" s="5" t="s">
        <v>27</v>
      </c>
      <c r="E37" s="14">
        <f aca="true" t="shared" si="17" ref="E37:Q37">IF(E35&lt;=0,0,E31/E35)</f>
        <v>0</v>
      </c>
      <c r="F37" s="14">
        <f t="shared" si="17"/>
        <v>0</v>
      </c>
      <c r="G37" s="14">
        <f t="shared" si="17"/>
        <v>3.564883802443959</v>
      </c>
      <c r="H37" s="14">
        <f t="shared" si="17"/>
        <v>1.0529071789464992</v>
      </c>
      <c r="I37" s="14">
        <f t="shared" si="17"/>
        <v>1.1588965149781925</v>
      </c>
      <c r="J37" s="14">
        <f t="shared" si="17"/>
        <v>1.2716464382933912</v>
      </c>
      <c r="K37" s="14">
        <f t="shared" si="17"/>
        <v>1.3203867108800298</v>
      </c>
      <c r="L37" s="14">
        <f t="shared" si="17"/>
        <v>1.3748834372449554</v>
      </c>
      <c r="M37" s="14">
        <f t="shared" si="17"/>
        <v>1.4270362812936788</v>
      </c>
      <c r="N37" s="14">
        <f t="shared" si="17"/>
        <v>1.4959775076301352</v>
      </c>
      <c r="O37" s="14">
        <f t="shared" si="17"/>
        <v>1.5592308071282788</v>
      </c>
      <c r="P37" s="14">
        <f t="shared" si="17"/>
        <v>1.5493842258880082</v>
      </c>
      <c r="Q37" s="14">
        <f t="shared" si="17"/>
        <v>2.203179393806233</v>
      </c>
      <c r="R37" s="14">
        <f aca="true" t="shared" si="18" ref="R37:AE37">IF(R35&lt;=0,0,R31/R35)</f>
        <v>0</v>
      </c>
      <c r="S37" s="14">
        <f t="shared" si="18"/>
        <v>0</v>
      </c>
      <c r="T37" s="14">
        <f t="shared" si="18"/>
        <v>0</v>
      </c>
      <c r="U37" s="14">
        <f t="shared" si="18"/>
        <v>0</v>
      </c>
      <c r="V37" s="14">
        <f t="shared" si="18"/>
        <v>0</v>
      </c>
      <c r="W37" s="14">
        <f t="shared" si="18"/>
        <v>0</v>
      </c>
      <c r="X37" s="14">
        <f t="shared" si="18"/>
        <v>0</v>
      </c>
      <c r="Y37" s="14">
        <f t="shared" si="18"/>
        <v>0</v>
      </c>
      <c r="Z37" s="14">
        <f t="shared" si="18"/>
        <v>0</v>
      </c>
      <c r="AA37" s="14">
        <f t="shared" si="18"/>
        <v>0</v>
      </c>
      <c r="AB37" s="14">
        <f t="shared" si="18"/>
        <v>0</v>
      </c>
      <c r="AC37" s="14">
        <f t="shared" si="18"/>
        <v>0</v>
      </c>
      <c r="AD37" s="14">
        <f t="shared" si="18"/>
        <v>0</v>
      </c>
      <c r="AE37" s="14">
        <f t="shared" si="18"/>
        <v>0</v>
      </c>
    </row>
    <row r="38" spans="3:31" s="1" customFormat="1" ht="12.75">
      <c r="C38" s="20" t="s">
        <v>150</v>
      </c>
      <c r="D38" s="20" t="s">
        <v>27</v>
      </c>
      <c r="E38" s="28"/>
      <c r="F38" s="28"/>
      <c r="G38" s="28">
        <f>SUM(G31:Q31)/SUM(G35:Q35)</f>
        <v>1.4483111908408688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40" ht="12.75">
      <c r="C40" s="1" t="s">
        <v>151</v>
      </c>
    </row>
    <row r="42" spans="3:31" ht="12.75">
      <c r="C42" s="59" t="s">
        <v>1</v>
      </c>
      <c r="D42" s="59" t="s">
        <v>2</v>
      </c>
      <c r="E42" s="60">
        <f>E4</f>
        <v>44651</v>
      </c>
      <c r="F42" s="60">
        <f aca="true" t="shared" si="19" ref="F42:Q42">F4</f>
        <v>45016</v>
      </c>
      <c r="G42" s="60">
        <f t="shared" si="19"/>
        <v>45382</v>
      </c>
      <c r="H42" s="60">
        <f t="shared" si="19"/>
        <v>45747</v>
      </c>
      <c r="I42" s="60">
        <f t="shared" si="19"/>
        <v>46112</v>
      </c>
      <c r="J42" s="60">
        <f t="shared" si="19"/>
        <v>46477</v>
      </c>
      <c r="K42" s="60">
        <f t="shared" si="19"/>
        <v>46843</v>
      </c>
      <c r="L42" s="60">
        <f t="shared" si="19"/>
        <v>47208</v>
      </c>
      <c r="M42" s="60">
        <f t="shared" si="19"/>
        <v>47573</v>
      </c>
      <c r="N42" s="60">
        <f t="shared" si="19"/>
        <v>47938</v>
      </c>
      <c r="O42" s="60">
        <f t="shared" si="19"/>
        <v>48304</v>
      </c>
      <c r="P42" s="60">
        <f t="shared" si="19"/>
        <v>48669</v>
      </c>
      <c r="Q42" s="60">
        <f t="shared" si="19"/>
        <v>49034</v>
      </c>
      <c r="R42" s="60">
        <f aca="true" t="shared" si="20" ref="R42:AE42">R4</f>
        <v>49399</v>
      </c>
      <c r="S42" s="60">
        <f t="shared" si="20"/>
        <v>49765</v>
      </c>
      <c r="T42" s="60">
        <f t="shared" si="20"/>
        <v>50130</v>
      </c>
      <c r="U42" s="60">
        <f t="shared" si="20"/>
        <v>50495</v>
      </c>
      <c r="V42" s="60">
        <f t="shared" si="20"/>
        <v>50860</v>
      </c>
      <c r="W42" s="60">
        <f t="shared" si="20"/>
        <v>51226</v>
      </c>
      <c r="X42" s="60">
        <f t="shared" si="20"/>
        <v>51591</v>
      </c>
      <c r="Y42" s="60">
        <f t="shared" si="20"/>
        <v>51956</v>
      </c>
      <c r="Z42" s="60">
        <f t="shared" si="20"/>
        <v>52321</v>
      </c>
      <c r="AA42" s="60">
        <f t="shared" si="20"/>
        <v>52687</v>
      </c>
      <c r="AB42" s="60">
        <f t="shared" si="20"/>
        <v>53052</v>
      </c>
      <c r="AC42" s="60">
        <f t="shared" si="20"/>
        <v>53417</v>
      </c>
      <c r="AD42" s="60">
        <f t="shared" si="20"/>
        <v>53782</v>
      </c>
      <c r="AE42" s="60">
        <f t="shared" si="20"/>
        <v>54148</v>
      </c>
    </row>
    <row r="43" spans="3:31" ht="12.75">
      <c r="C43" s="5" t="s">
        <v>28</v>
      </c>
      <c r="D43" s="5" t="str">
        <f>D35</f>
        <v>Rs. Crores</v>
      </c>
      <c r="E43" s="19">
        <f>'P&amp;L'!E6</f>
        <v>0</v>
      </c>
      <c r="F43" s="19">
        <f>'P&amp;L'!F6</f>
        <v>0</v>
      </c>
      <c r="G43" s="19">
        <f>'P&amp;L'!G6</f>
        <v>33.5741371875</v>
      </c>
      <c r="H43" s="19">
        <f>'P&amp;L'!H6</f>
        <v>35.812413</v>
      </c>
      <c r="I43" s="19">
        <f>'P&amp;L'!I6</f>
        <v>38.05068881250001</v>
      </c>
      <c r="J43" s="19">
        <f>'P&amp;L'!J6</f>
        <v>40.28896462500001</v>
      </c>
      <c r="K43" s="19">
        <f>'P&amp;L'!K6</f>
        <v>40.288964625</v>
      </c>
      <c r="L43" s="19">
        <f>'P&amp;L'!L6</f>
        <v>40.288964625</v>
      </c>
      <c r="M43" s="19">
        <f>'P&amp;L'!M6</f>
        <v>40.288964625</v>
      </c>
      <c r="N43" s="19">
        <f>'P&amp;L'!N6</f>
        <v>40.288964625</v>
      </c>
      <c r="O43" s="19">
        <f>'P&amp;L'!O6</f>
        <v>40.288964625</v>
      </c>
      <c r="P43" s="19">
        <f>'P&amp;L'!P6</f>
        <v>40.288964625</v>
      </c>
      <c r="Q43" s="19">
        <f>'P&amp;L'!Q6</f>
        <v>40.288964625</v>
      </c>
      <c r="R43" s="19">
        <f>'P&amp;L'!R6</f>
        <v>40.288964625</v>
      </c>
      <c r="S43" s="19">
        <f>'P&amp;L'!S6</f>
        <v>40.288964625</v>
      </c>
      <c r="T43" s="19">
        <f>'P&amp;L'!T6</f>
        <v>40.288964625</v>
      </c>
      <c r="U43" s="19">
        <f>'P&amp;L'!U6</f>
        <v>40.288964625</v>
      </c>
      <c r="V43" s="19">
        <f>'P&amp;L'!V6</f>
        <v>40.288964625</v>
      </c>
      <c r="W43" s="19">
        <f>'P&amp;L'!W6</f>
        <v>40.288964625</v>
      </c>
      <c r="X43" s="19">
        <f>'P&amp;L'!X6</f>
        <v>40.288964625</v>
      </c>
      <c r="Y43" s="19">
        <f>'P&amp;L'!Y6</f>
        <v>40.288964625</v>
      </c>
      <c r="Z43" s="19">
        <f>'P&amp;L'!Z6</f>
        <v>40.288964625</v>
      </c>
      <c r="AA43" s="19">
        <f>'P&amp;L'!AA6</f>
        <v>40.288964625</v>
      </c>
      <c r="AB43" s="19">
        <f>'P&amp;L'!AB6</f>
        <v>40.288964625</v>
      </c>
      <c r="AC43" s="19">
        <f>'P&amp;L'!AC6</f>
        <v>40.288964625</v>
      </c>
      <c r="AD43" s="19">
        <f>'P&amp;L'!AD6</f>
        <v>40.288964625</v>
      </c>
      <c r="AE43" s="19">
        <f>'P&amp;L'!AE6</f>
        <v>40.288964625</v>
      </c>
    </row>
    <row r="44" spans="3:31" ht="12.75">
      <c r="C44" s="5" t="s">
        <v>152</v>
      </c>
      <c r="D44" s="5" t="str">
        <f>D43</f>
        <v>Rs. Crores</v>
      </c>
      <c r="E44" s="19">
        <f>'P&amp;L'!E16+'P&amp;L'!E22+'P&amp;L'!E23+'P&amp;L'!E24</f>
        <v>0</v>
      </c>
      <c r="F44" s="19">
        <f>'P&amp;L'!F16+'P&amp;L'!F22+'P&amp;L'!F23+'P&amp;L'!F24</f>
        <v>0</v>
      </c>
      <c r="G44" s="19">
        <f>'P&amp;L'!G16+'P&amp;L'!G22+'P&amp;L'!G23+'P&amp;L'!G24</f>
        <v>7.741550302458375</v>
      </c>
      <c r="H44" s="19">
        <f>'P&amp;L'!H16+'P&amp;L'!H22+'P&amp;L'!H23+'P&amp;L'!H24</f>
        <v>10.63691960026345</v>
      </c>
      <c r="I44" s="19">
        <f>'P&amp;L'!I16+'P&amp;L'!I22+'P&amp;L'!I23+'P&amp;L'!I24</f>
        <v>10.146300861228848</v>
      </c>
      <c r="J44" s="19">
        <f>'P&amp;L'!J16+'P&amp;L'!J22+'P&amp;L'!J23+'P&amp;L'!J24</f>
        <v>9.740841265198796</v>
      </c>
      <c r="K44" s="19">
        <f>'P&amp;L'!K16+'P&amp;L'!K22+'P&amp;L'!K23+'P&amp;L'!K24</f>
        <v>9.142837429248633</v>
      </c>
      <c r="L44" s="19">
        <f>'P&amp;L'!L16+'P&amp;L'!L22+'P&amp;L'!L23+'P&amp;L'!L24</f>
        <v>8.545776711093769</v>
      </c>
      <c r="M44" s="19">
        <f>'P&amp;L'!M16+'P&amp;L'!M22+'P&amp;L'!M23+'P&amp;L'!M24</f>
        <v>8.090355915402816</v>
      </c>
      <c r="N44" s="19">
        <f>'P&amp;L'!N16+'P&amp;L'!N22+'P&amp;L'!N23+'P&amp;L'!N24</f>
        <v>7.49528422520423</v>
      </c>
      <c r="O44" s="19">
        <f>'P&amp;L'!O16+'P&amp;L'!O22+'P&amp;L'!O23+'P&amp;L'!O24</f>
        <v>6.9052608175003405</v>
      </c>
      <c r="P44" s="19">
        <f>'P&amp;L'!P16+'P&amp;L'!P22+'P&amp;L'!P23+'P&amp;L'!P24</f>
        <v>6.474363669661047</v>
      </c>
      <c r="Q44" s="19">
        <f>'P&amp;L'!Q16+'P&amp;L'!Q22+'P&amp;L'!Q23+'P&amp;L'!Q24</f>
        <v>5.903496853797915</v>
      </c>
      <c r="R44" s="19">
        <f>'P&amp;L'!R16+'P&amp;L'!R22+'P&amp;L'!R23+'P&amp;L'!R24</f>
        <v>5.767006601592037</v>
      </c>
      <c r="S44" s="19">
        <f>'P&amp;L'!S16+'P&amp;L'!S22+'P&amp;L'!S23+'P&amp;L'!S24</f>
        <v>5.9497517442709205</v>
      </c>
      <c r="T44" s="19">
        <f>'P&amp;L'!T16+'P&amp;L'!T22+'P&amp;L'!T23+'P&amp;L'!T24</f>
        <v>6.003038646125204</v>
      </c>
      <c r="U44" s="19">
        <f>'P&amp;L'!U16+'P&amp;L'!U22+'P&amp;L'!U23+'P&amp;L'!U24</f>
        <v>6.047565341391469</v>
      </c>
      <c r="V44" s="19">
        <f>'P&amp;L'!V16+'P&amp;L'!V22+'P&amp;L'!V23+'P&amp;L'!V24</f>
        <v>6.173927000672091</v>
      </c>
      <c r="W44" s="19">
        <f>'P&amp;L'!W16+'P&amp;L'!W22+'P&amp;L'!W23+'P&amp;L'!W24</f>
        <v>6.221180346574762</v>
      </c>
      <c r="X44" s="19">
        <f>'P&amp;L'!X16+'P&amp;L'!X22+'P&amp;L'!X23+'P&amp;L'!X24</f>
        <v>6.269851292854512</v>
      </c>
      <c r="Y44" s="19">
        <f>'P&amp;L'!Y16+'P&amp;L'!Y22+'P&amp;L'!Y23+'P&amp;L'!Y24</f>
        <v>6.545509624886093</v>
      </c>
      <c r="Z44" s="19">
        <f>'P&amp;L'!Z16+'P&amp;L'!Z22+'P&amp;L'!Z23+'P&amp;L'!Z24</f>
        <v>6.597190449515184</v>
      </c>
      <c r="AA44" s="19">
        <f>'P&amp;L'!AA16+'P&amp;L'!AA22+'P&amp;L'!AA23+'P&amp;L'!AA24</f>
        <v>6.650421698883148</v>
      </c>
      <c r="AB44" s="19">
        <f>'P&amp;L'!AB16+'P&amp;L'!AB22+'P&amp;L'!AB23+'P&amp;L'!AB24</f>
        <v>6.785845912645357</v>
      </c>
      <c r="AC44" s="19">
        <f>'P&amp;L'!AC16+'P&amp;L'!AC22+'P&amp;L'!AC23+'P&amp;L'!AC24</f>
        <v>6.842336825907226</v>
      </c>
      <c r="AD44" s="19">
        <f>'P&amp;L'!AD16+'P&amp;L'!AD22+'P&amp;L'!AD23+'P&amp;L'!AD24</f>
        <v>6.910601507185977</v>
      </c>
      <c r="AE44" s="19">
        <f>'P&amp;L'!AE16+'P&amp;L'!AE22+'P&amp;L'!AE23+'P&amp;L'!AE24</f>
        <v>6.970535088284064</v>
      </c>
    </row>
    <row r="45" spans="3:31" ht="12.75">
      <c r="C45" s="5" t="s">
        <v>153</v>
      </c>
      <c r="D45" s="5" t="str">
        <f>D44</f>
        <v>Rs. Crores</v>
      </c>
      <c r="E45" s="19">
        <f>'P&amp;L'!E12</f>
        <v>0</v>
      </c>
      <c r="F45" s="19">
        <f>'P&amp;L'!F12</f>
        <v>0</v>
      </c>
      <c r="G45" s="19">
        <f>'P&amp;L'!G12</f>
        <v>18.124415937256067</v>
      </c>
      <c r="H45" s="19">
        <f>'P&amp;L'!H12</f>
        <v>19.378649117846077</v>
      </c>
      <c r="I45" s="19">
        <f>'P&amp;L'!I12</f>
        <v>20.654815015462958</v>
      </c>
      <c r="J45" s="19">
        <f>'P&amp;L'!J12</f>
        <v>22.02981314511822</v>
      </c>
      <c r="K45" s="19">
        <f>'P&amp;L'!K12</f>
        <v>22.233340348442397</v>
      </c>
      <c r="L45" s="19">
        <f>'P&amp;L'!L12</f>
        <v>22.44579147546495</v>
      </c>
      <c r="M45" s="19">
        <f>'P&amp;L'!M12</f>
        <v>22.804990956775818</v>
      </c>
      <c r="N45" s="19">
        <f>'P&amp;L'!N12</f>
        <v>23.040154180811648</v>
      </c>
      <c r="O45" s="19">
        <f>'P&amp;L'!O12</f>
        <v>23.289798110168466</v>
      </c>
      <c r="P45" s="19">
        <f>'P&amp;L'!P12</f>
        <v>23.52432626839556</v>
      </c>
      <c r="Q45" s="19">
        <f>'P&amp;L'!Q12</f>
        <v>23.59337705302513</v>
      </c>
      <c r="R45" s="19">
        <f>'P&amp;L'!R12</f>
        <v>23.664207708372338</v>
      </c>
      <c r="S45" s="19">
        <f>'P&amp;L'!S12</f>
        <v>23.900939443832343</v>
      </c>
      <c r="T45" s="19">
        <f>'P&amp;L'!T12</f>
        <v>23.991841716984755</v>
      </c>
      <c r="U45" s="19">
        <f>'P&amp;L'!U12</f>
        <v>24.073017133078235</v>
      </c>
      <c r="V45" s="19">
        <f>'P&amp;L'!V12</f>
        <v>24.258731071189125</v>
      </c>
      <c r="W45" s="19">
        <f>'P&amp;L'!W12</f>
        <v>24.346820222467805</v>
      </c>
      <c r="X45" s="19">
        <f>'P&amp;L'!X12</f>
        <v>24.43717058214056</v>
      </c>
      <c r="Y45" s="19">
        <f>'P&amp;L'!Y12</f>
        <v>24.84330413717486</v>
      </c>
      <c r="Z45" s="19">
        <f>'P&amp;L'!Z12</f>
        <v>24.946573050660078</v>
      </c>
      <c r="AA45" s="19">
        <f>'P&amp;L'!AA12</f>
        <v>25.05248784251237</v>
      </c>
      <c r="AB45" s="19">
        <f>'P&amp;L'!AB12</f>
        <v>25.283447294447253</v>
      </c>
      <c r="AC45" s="19">
        <f>'P&amp;L'!AC12</f>
        <v>25.39806296673658</v>
      </c>
      <c r="AD45" s="19">
        <f>'P&amp;L'!AD12</f>
        <v>25.531832075201148</v>
      </c>
      <c r="AE45" s="19">
        <f>'P&amp;L'!AE12</f>
        <v>25.652807239406652</v>
      </c>
    </row>
    <row r="46" spans="3:31" ht="12.75">
      <c r="C46" s="5" t="s">
        <v>154</v>
      </c>
      <c r="D46" s="5" t="str">
        <f>D45</f>
        <v>Rs. Crores</v>
      </c>
      <c r="E46" s="19">
        <f aca="true" t="shared" si="21" ref="E46:Q46">E43-E45</f>
        <v>0</v>
      </c>
      <c r="F46" s="19">
        <f t="shared" si="21"/>
        <v>0</v>
      </c>
      <c r="G46" s="19">
        <f t="shared" si="21"/>
        <v>15.449721250243933</v>
      </c>
      <c r="H46" s="19">
        <f t="shared" si="21"/>
        <v>16.433763882153922</v>
      </c>
      <c r="I46" s="19">
        <f t="shared" si="21"/>
        <v>17.395873797037055</v>
      </c>
      <c r="J46" s="19">
        <f t="shared" si="21"/>
        <v>18.259151479881794</v>
      </c>
      <c r="K46" s="19">
        <f t="shared" si="21"/>
        <v>18.0556242765576</v>
      </c>
      <c r="L46" s="19">
        <f t="shared" si="21"/>
        <v>17.843173149535048</v>
      </c>
      <c r="M46" s="19">
        <f t="shared" si="21"/>
        <v>17.48397366822418</v>
      </c>
      <c r="N46" s="19">
        <f t="shared" si="21"/>
        <v>17.24881044418835</v>
      </c>
      <c r="O46" s="19">
        <f t="shared" si="21"/>
        <v>16.999166514831533</v>
      </c>
      <c r="P46" s="19">
        <f t="shared" si="21"/>
        <v>16.76463835660444</v>
      </c>
      <c r="Q46" s="19">
        <f t="shared" si="21"/>
        <v>16.69558757197487</v>
      </c>
      <c r="R46" s="19">
        <f aca="true" t="shared" si="22" ref="R46:AE46">R43-R45</f>
        <v>16.62475691662766</v>
      </c>
      <c r="S46" s="19">
        <f t="shared" si="22"/>
        <v>16.388025181167656</v>
      </c>
      <c r="T46" s="19">
        <f t="shared" si="22"/>
        <v>16.297122908015243</v>
      </c>
      <c r="U46" s="19">
        <f t="shared" si="22"/>
        <v>16.215947491921764</v>
      </c>
      <c r="V46" s="19">
        <f t="shared" si="22"/>
        <v>16.030233553810874</v>
      </c>
      <c r="W46" s="19">
        <f t="shared" si="22"/>
        <v>15.942144402532193</v>
      </c>
      <c r="X46" s="19">
        <f t="shared" si="22"/>
        <v>15.851794042859439</v>
      </c>
      <c r="Y46" s="19">
        <f t="shared" si="22"/>
        <v>15.445660487825137</v>
      </c>
      <c r="Z46" s="19">
        <f t="shared" si="22"/>
        <v>15.34239157433992</v>
      </c>
      <c r="AA46" s="19">
        <f t="shared" si="22"/>
        <v>15.236476782487628</v>
      </c>
      <c r="AB46" s="19">
        <f t="shared" si="22"/>
        <v>15.005517330552745</v>
      </c>
      <c r="AC46" s="19">
        <f t="shared" si="22"/>
        <v>14.89090165826342</v>
      </c>
      <c r="AD46" s="19">
        <f t="shared" si="22"/>
        <v>14.75713254979885</v>
      </c>
      <c r="AE46" s="19">
        <f t="shared" si="22"/>
        <v>14.636157385593346</v>
      </c>
    </row>
    <row r="47" spans="3:31" ht="12.75">
      <c r="C47" s="5" t="s">
        <v>155</v>
      </c>
      <c r="D47" s="5" t="s">
        <v>10</v>
      </c>
      <c r="E47" s="27">
        <f aca="true" t="shared" si="23" ref="E47:Q47">IF(E43&lt;=0,0,E46/E43)</f>
        <v>0</v>
      </c>
      <c r="F47" s="27">
        <f t="shared" si="23"/>
        <v>0</v>
      </c>
      <c r="G47" s="27">
        <f t="shared" si="23"/>
        <v>0.4601673354690415</v>
      </c>
      <c r="H47" s="27">
        <f t="shared" si="23"/>
        <v>0.458884573964729</v>
      </c>
      <c r="I47" s="27">
        <f t="shared" si="23"/>
        <v>0.45717631769447353</v>
      </c>
      <c r="J47" s="27">
        <f t="shared" si="23"/>
        <v>0.45320478324110786</v>
      </c>
      <c r="K47" s="27">
        <f t="shared" si="23"/>
        <v>0.44815309712262436</v>
      </c>
      <c r="L47" s="27">
        <f t="shared" si="23"/>
        <v>0.4428799130385955</v>
      </c>
      <c r="M47" s="27">
        <f t="shared" si="23"/>
        <v>0.4339643331855461</v>
      </c>
      <c r="N47" s="27">
        <f t="shared" si="23"/>
        <v>0.42812741912670466</v>
      </c>
      <c r="O47" s="27">
        <f t="shared" si="23"/>
        <v>0.4219310839346628</v>
      </c>
      <c r="P47" s="27">
        <f t="shared" si="23"/>
        <v>0.4161099326489441</v>
      </c>
      <c r="Q47" s="27">
        <f t="shared" si="23"/>
        <v>0.4143960443603698</v>
      </c>
      <c r="R47" s="27">
        <f aca="true" t="shared" si="24" ref="R47:AE47">IF(R43&lt;=0,0,R46/R43)</f>
        <v>0.41263797844811606</v>
      </c>
      <c r="S47" s="27">
        <f t="shared" si="24"/>
        <v>0.4067621328496142</v>
      </c>
      <c r="T47" s="27">
        <f t="shared" si="24"/>
        <v>0.4045058754848864</v>
      </c>
      <c r="U47" s="27">
        <f t="shared" si="24"/>
        <v>0.40249104544770276</v>
      </c>
      <c r="V47" s="27">
        <f t="shared" si="24"/>
        <v>0.3978814969065707</v>
      </c>
      <c r="W47" s="27">
        <f t="shared" si="24"/>
        <v>0.3956950631746892</v>
      </c>
      <c r="X47" s="27">
        <f t="shared" si="24"/>
        <v>0.3934525046846979</v>
      </c>
      <c r="Y47" s="27">
        <f t="shared" si="24"/>
        <v>0.38337198862243377</v>
      </c>
      <c r="Z47" s="27">
        <f t="shared" si="24"/>
        <v>0.3808087826813922</v>
      </c>
      <c r="AA47" s="27">
        <f t="shared" si="24"/>
        <v>0.37817990420714687</v>
      </c>
      <c r="AB47" s="27">
        <f t="shared" si="24"/>
        <v>0.3724473306827439</v>
      </c>
      <c r="AC47" s="27">
        <f t="shared" si="24"/>
        <v>0.3696024903311454</v>
      </c>
      <c r="AD47" s="27">
        <f t="shared" si="24"/>
        <v>0.36628224843092133</v>
      </c>
      <c r="AE47" s="27">
        <f t="shared" si="24"/>
        <v>0.3632795610863467</v>
      </c>
    </row>
    <row r="48" spans="3:31" ht="12.75">
      <c r="C48" s="5" t="s">
        <v>156</v>
      </c>
      <c r="D48" s="5" t="str">
        <f>D46</f>
        <v>Rs. Crores</v>
      </c>
      <c r="E48" s="14">
        <f aca="true" t="shared" si="25" ref="E48:Q48">IF(E47&lt;=0,0,E44/E47)</f>
        <v>0</v>
      </c>
      <c r="F48" s="14">
        <f t="shared" si="25"/>
        <v>0</v>
      </c>
      <c r="G48" s="14">
        <f t="shared" si="25"/>
        <v>16.82333730743303</v>
      </c>
      <c r="H48" s="14">
        <f t="shared" si="25"/>
        <v>23.179945903086796</v>
      </c>
      <c r="I48" s="14">
        <f t="shared" si="25"/>
        <v>22.193408688351006</v>
      </c>
      <c r="J48" s="14">
        <f t="shared" si="25"/>
        <v>21.493244611270146</v>
      </c>
      <c r="K48" s="14">
        <f t="shared" si="25"/>
        <v>20.401147482747298</v>
      </c>
      <c r="L48" s="14">
        <f t="shared" si="25"/>
        <v>19.29592302450853</v>
      </c>
      <c r="M48" s="14">
        <f t="shared" si="25"/>
        <v>18.64290518074373</v>
      </c>
      <c r="N48" s="14">
        <f t="shared" si="25"/>
        <v>17.50713430243064</v>
      </c>
      <c r="O48" s="14">
        <f t="shared" si="25"/>
        <v>16.365849970346435</v>
      </c>
      <c r="P48" s="14">
        <f t="shared" si="25"/>
        <v>15.55926249692102</v>
      </c>
      <c r="Q48" s="14">
        <f t="shared" si="25"/>
        <v>14.246026076117843</v>
      </c>
      <c r="R48" s="14">
        <f aca="true" t="shared" si="26" ref="R48:AE48">IF(R47&lt;=0,0,R44/R47)</f>
        <v>13.975947205056318</v>
      </c>
      <c r="S48" s="14">
        <f t="shared" si="26"/>
        <v>14.627103321022828</v>
      </c>
      <c r="T48" s="14">
        <f t="shared" si="26"/>
        <v>14.840423860170842</v>
      </c>
      <c r="U48" s="14">
        <f t="shared" si="26"/>
        <v>15.025341333158313</v>
      </c>
      <c r="V48" s="14">
        <f t="shared" si="26"/>
        <v>15.516999530445199</v>
      </c>
      <c r="W48" s="14">
        <f t="shared" si="26"/>
        <v>15.722158109989536</v>
      </c>
      <c r="X48" s="14">
        <f t="shared" si="26"/>
        <v>15.935471799522537</v>
      </c>
      <c r="Y48" s="14">
        <f t="shared" si="26"/>
        <v>17.073520807834704</v>
      </c>
      <c r="Z48" s="14">
        <f t="shared" si="26"/>
        <v>17.324155191648494</v>
      </c>
      <c r="AA48" s="14">
        <f t="shared" si="26"/>
        <v>17.585338683782627</v>
      </c>
      <c r="AB48" s="14">
        <f t="shared" si="26"/>
        <v>18.219612153498396</v>
      </c>
      <c r="AC48" s="14">
        <f t="shared" si="26"/>
        <v>18.512691350582713</v>
      </c>
      <c r="AD48" s="14">
        <f t="shared" si="26"/>
        <v>18.86687530392092</v>
      </c>
      <c r="AE48" s="14">
        <f t="shared" si="26"/>
        <v>19.187798695416454</v>
      </c>
    </row>
    <row r="49" spans="3:31" ht="12.75">
      <c r="C49" s="5" t="s">
        <v>157</v>
      </c>
      <c r="D49" s="5" t="s">
        <v>10</v>
      </c>
      <c r="E49" s="27">
        <f aca="true" t="shared" si="27" ref="E49:Q49">IF(E43&lt;=0,0,E48/E43)</f>
        <v>0</v>
      </c>
      <c r="F49" s="27">
        <f t="shared" si="27"/>
        <v>0</v>
      </c>
      <c r="G49" s="27">
        <f t="shared" si="27"/>
        <v>0.5010802575053673</v>
      </c>
      <c r="H49" s="27">
        <f t="shared" si="27"/>
        <v>0.6472600967459745</v>
      </c>
      <c r="I49" s="27">
        <f t="shared" si="27"/>
        <v>0.5832590520952741</v>
      </c>
      <c r="J49" s="27">
        <f t="shared" si="27"/>
        <v>0.5334772142030478</v>
      </c>
      <c r="K49" s="27">
        <f t="shared" si="27"/>
        <v>0.5063706072527869</v>
      </c>
      <c r="L49" s="27">
        <f t="shared" si="27"/>
        <v>0.4789381708889852</v>
      </c>
      <c r="M49" s="27">
        <f t="shared" si="27"/>
        <v>0.46272981582593176</v>
      </c>
      <c r="N49" s="27">
        <f t="shared" si="27"/>
        <v>0.4345391961640821</v>
      </c>
      <c r="O49" s="27">
        <f t="shared" si="27"/>
        <v>0.40621172876185413</v>
      </c>
      <c r="P49" s="27">
        <f t="shared" si="27"/>
        <v>0.38619166915166214</v>
      </c>
      <c r="Q49" s="27">
        <f t="shared" si="27"/>
        <v>0.3535962318395727</v>
      </c>
      <c r="R49" s="27">
        <f aca="true" t="shared" si="28" ref="R49:AE49">IF(R43&lt;=0,0,R48/R43)</f>
        <v>0.3468926872442883</v>
      </c>
      <c r="S49" s="27">
        <f t="shared" si="28"/>
        <v>0.36305483293423874</v>
      </c>
      <c r="T49" s="27">
        <f t="shared" si="28"/>
        <v>0.36834959642924414</v>
      </c>
      <c r="U49" s="27">
        <f t="shared" si="28"/>
        <v>0.37293937615450234</v>
      </c>
      <c r="V49" s="27">
        <f t="shared" si="28"/>
        <v>0.38514267305883143</v>
      </c>
      <c r="W49" s="27">
        <f t="shared" si="28"/>
        <v>0.39023485106474204</v>
      </c>
      <c r="X49" s="27">
        <f t="shared" si="28"/>
        <v>0.39552944454755984</v>
      </c>
      <c r="Y49" s="27">
        <f t="shared" si="28"/>
        <v>0.42377660897347286</v>
      </c>
      <c r="Z49" s="27">
        <f t="shared" si="28"/>
        <v>0.42999752793097484</v>
      </c>
      <c r="AA49" s="27">
        <f t="shared" si="28"/>
        <v>0.4364802830616953</v>
      </c>
      <c r="AB49" s="27">
        <f t="shared" si="28"/>
        <v>0.45222338978135</v>
      </c>
      <c r="AC49" s="27">
        <f t="shared" si="28"/>
        <v>0.4594978183950468</v>
      </c>
      <c r="AD49" s="27">
        <f t="shared" si="28"/>
        <v>0.46828890937082307</v>
      </c>
      <c r="AE49" s="27">
        <f t="shared" si="28"/>
        <v>0.4762544501704592</v>
      </c>
    </row>
    <row r="50" spans="3:31" ht="12.75">
      <c r="C50" s="5" t="s">
        <v>158</v>
      </c>
      <c r="D50" s="5" t="str">
        <f>D48</f>
        <v>Rs. Crores</v>
      </c>
      <c r="E50" s="19">
        <f>IF(E47&lt;=0,0,(E44-'P&amp;L'!E22)/E47)</f>
        <v>0</v>
      </c>
      <c r="F50" s="19">
        <f>IF(F47&lt;=0,0,(F44-'P&amp;L'!F22)/F47)</f>
        <v>0</v>
      </c>
      <c r="G50" s="19">
        <f>IF(G47&lt;=0,0,(G44-'P&amp;L'!G22)/G47)</f>
        <v>12.426456349036274</v>
      </c>
      <c r="H50" s="19">
        <f>IF(H47&lt;=0,0,(H44-'P&amp;L'!H22)/H47)</f>
        <v>18.77077394614166</v>
      </c>
      <c r="I50" s="19">
        <f>IF(I47&lt;=0,0,(I44-'P&amp;L'!I22)/I47)</f>
        <v>17.76776169682825</v>
      </c>
      <c r="J50" s="19">
        <f>IF(J47&lt;=0,0,(J44-'P&amp;L'!J22)/J47)</f>
        <v>16.84346801374712</v>
      </c>
      <c r="K50" s="19">
        <f>IF(K47&lt;=0,0,(K44-'P&amp;L'!K22)/K47)</f>
        <v>15.698957520143075</v>
      </c>
      <c r="L50" s="19">
        <f>IF(L47&lt;=0,0,(L44-'P&amp;L'!L22)/L47)</f>
        <v>14.537746071885357</v>
      </c>
      <c r="M50" s="19">
        <f>IF(M47&lt;=0,0,(M44-'P&amp;L'!M22)/M47)</f>
        <v>13.464366708460703</v>
      </c>
      <c r="N50" s="19">
        <f>IF(N47&lt;=0,0,(N44-'P&amp;L'!N22)/N47)</f>
        <v>12.257993755478402</v>
      </c>
      <c r="O50" s="19">
        <f>IF(O47&lt;=0,0,(O44-'P&amp;L'!O22)/O47)</f>
        <v>11.030142124397308</v>
      </c>
      <c r="P50" s="19">
        <f>IF(P47&lt;=0,0,(P44-'P&amp;L'!P22)/P47)</f>
        <v>9.764397232230687</v>
      </c>
      <c r="Q50" s="19">
        <f>IF(Q47&lt;=0,0,(Q44-'P&amp;L'!Q22)/Q47)</f>
        <v>8.42719400033898</v>
      </c>
      <c r="R50" s="19">
        <f>IF(R47&lt;=0,0,(R44-'P&amp;L'!R22)/R47)</f>
        <v>8.132323687733397</v>
      </c>
      <c r="S50" s="19">
        <f>IF(S47&lt;=0,0,(S44-'P&amp;L'!S22)/S47)</f>
        <v>8.354884771261087</v>
      </c>
      <c r="T50" s="19">
        <f>IF(T47&lt;=0,0,(T44-'P&amp;L'!T22)/T47)</f>
        <v>8.50849854034765</v>
      </c>
      <c r="U50" s="19">
        <f>IF(U47&lt;=0,0,(U44-'P&amp;L'!U22)/U47)</f>
        <v>8.661719026602428</v>
      </c>
      <c r="V50" s="19">
        <f>IF(V47&lt;=0,0,(V44-'P&amp;L'!V22)/V47)</f>
        <v>8.878588306159939</v>
      </c>
      <c r="W50" s="19">
        <f>IF(W47&lt;=0,0,(W44-'P&amp;L'!W22)/W47)</f>
        <v>9.047065997875078</v>
      </c>
      <c r="X50" s="19">
        <f>IF(X47&lt;=0,0,(X44-'P&amp;L'!X22)/X47)</f>
        <v>9.22233371156789</v>
      </c>
      <c r="Y50" s="19">
        <f>IF(Y47&lt;=0,0,(Y44-'P&amp;L'!Y22)/Y47)</f>
        <v>9.599576231717256</v>
      </c>
      <c r="Z50" s="19">
        <f>IF(Z47&lt;=0,0,(Z44-'P&amp;L'!Z22)/Z47)</f>
        <v>9.79990384737925</v>
      </c>
      <c r="AA50" s="19">
        <f>IF(AA47&lt;=0,0,(AA44-'P&amp;L'!AA22)/AA47)</f>
        <v>10.008783284819547</v>
      </c>
      <c r="AB50" s="19">
        <f>IF(AB47&lt;=0,0,(AB44-'P&amp;L'!AB22)/AB47)</f>
        <v>10.31164570465613</v>
      </c>
      <c r="AC50" s="19">
        <f>IF(AC47&lt;=0,0,(AC44-'P&amp;L'!AC22)/AC47)</f>
        <v>10.543857070377626</v>
      </c>
      <c r="AD50" s="19">
        <f>IF(AD47&lt;=0,0,(AD44-'P&amp;L'!AD22)/AD47)</f>
        <v>10.79850451156091</v>
      </c>
      <c r="AE50" s="19">
        <f>IF(AE47&lt;=0,0,(AE44-'P&amp;L'!AE22)/AE47)</f>
        <v>11.052738781331266</v>
      </c>
    </row>
    <row r="51" spans="3:31" ht="12.75">
      <c r="C51" s="5" t="s">
        <v>159</v>
      </c>
      <c r="D51" s="5" t="s">
        <v>10</v>
      </c>
      <c r="E51" s="27">
        <f aca="true" t="shared" si="29" ref="E51:Q51">IF(E43&lt;=0,0,E50/E43)</f>
        <v>0</v>
      </c>
      <c r="F51" s="27">
        <f t="shared" si="29"/>
        <v>0</v>
      </c>
      <c r="G51" s="27">
        <f t="shared" si="29"/>
        <v>0.37011990150748453</v>
      </c>
      <c r="H51" s="27">
        <f t="shared" si="29"/>
        <v>0.5241415580162571</v>
      </c>
      <c r="I51" s="27">
        <f t="shared" si="29"/>
        <v>0.4669498043617904</v>
      </c>
      <c r="J51" s="27">
        <f t="shared" si="29"/>
        <v>0.418066539324653</v>
      </c>
      <c r="K51" s="27">
        <f t="shared" si="29"/>
        <v>0.38965899635955403</v>
      </c>
      <c r="L51" s="27">
        <f t="shared" si="29"/>
        <v>0.36083692413541035</v>
      </c>
      <c r="M51" s="27">
        <f t="shared" si="29"/>
        <v>0.33419490507596294</v>
      </c>
      <c r="N51" s="27">
        <f t="shared" si="29"/>
        <v>0.30425189303256767</v>
      </c>
      <c r="O51" s="27">
        <f t="shared" si="29"/>
        <v>0.2737757653258956</v>
      </c>
      <c r="P51" s="27">
        <f t="shared" si="29"/>
        <v>0.242359100639973</v>
      </c>
      <c r="Q51" s="27">
        <f t="shared" si="29"/>
        <v>0.20916879048089912</v>
      </c>
      <c r="R51" s="27">
        <f aca="true" t="shared" si="30" ref="R51:AE51">IF(R43&lt;=0,0,R50/R43)</f>
        <v>0.20184990513971038</v>
      </c>
      <c r="S51" s="27">
        <f t="shared" si="30"/>
        <v>0.20737402534481456</v>
      </c>
      <c r="T51" s="27">
        <f t="shared" si="30"/>
        <v>0.21118682546306936</v>
      </c>
      <c r="U51" s="27">
        <f t="shared" si="30"/>
        <v>0.21498986402911138</v>
      </c>
      <c r="V51" s="27">
        <f t="shared" si="30"/>
        <v>0.2203727097183982</v>
      </c>
      <c r="W51" s="27">
        <f t="shared" si="30"/>
        <v>0.22455444268878574</v>
      </c>
      <c r="X51" s="27">
        <f t="shared" si="30"/>
        <v>0.22890470870639532</v>
      </c>
      <c r="Y51" s="27">
        <f t="shared" si="30"/>
        <v>0.2382681292772799</v>
      </c>
      <c r="Z51" s="27">
        <f t="shared" si="30"/>
        <v>0.24324039941444017</v>
      </c>
      <c r="AA51" s="27">
        <f t="shared" si="30"/>
        <v>0.24842493168982863</v>
      </c>
      <c r="AB51" s="27">
        <f t="shared" si="30"/>
        <v>0.25594218666660834</v>
      </c>
      <c r="AC51" s="27">
        <f t="shared" si="30"/>
        <v>0.2617058335580801</v>
      </c>
      <c r="AD51" s="27">
        <f t="shared" si="30"/>
        <v>0.2680263593783259</v>
      </c>
      <c r="AE51" s="27">
        <f t="shared" si="30"/>
        <v>0.27433662999800323</v>
      </c>
    </row>
    <row r="53" ht="12.75">
      <c r="C53" s="1" t="s">
        <v>160</v>
      </c>
    </row>
    <row r="55" spans="3:31" ht="12.75">
      <c r="C55" s="59" t="s">
        <v>1</v>
      </c>
      <c r="D55" s="59" t="s">
        <v>2</v>
      </c>
      <c r="E55" s="60">
        <f>E4</f>
        <v>44651</v>
      </c>
      <c r="F55" s="60">
        <f aca="true" t="shared" si="31" ref="F55:Q55">F4</f>
        <v>45016</v>
      </c>
      <c r="G55" s="60">
        <f t="shared" si="31"/>
        <v>45382</v>
      </c>
      <c r="H55" s="60">
        <f t="shared" si="31"/>
        <v>45747</v>
      </c>
      <c r="I55" s="60">
        <f t="shared" si="31"/>
        <v>46112</v>
      </c>
      <c r="J55" s="60">
        <f t="shared" si="31"/>
        <v>46477</v>
      </c>
      <c r="K55" s="60">
        <f t="shared" si="31"/>
        <v>46843</v>
      </c>
      <c r="L55" s="60">
        <f t="shared" si="31"/>
        <v>47208</v>
      </c>
      <c r="M55" s="60">
        <f t="shared" si="31"/>
        <v>47573</v>
      </c>
      <c r="N55" s="60">
        <f t="shared" si="31"/>
        <v>47938</v>
      </c>
      <c r="O55" s="60">
        <f t="shared" si="31"/>
        <v>48304</v>
      </c>
      <c r="P55" s="60">
        <f t="shared" si="31"/>
        <v>48669</v>
      </c>
      <c r="Q55" s="60">
        <f t="shared" si="31"/>
        <v>49034</v>
      </c>
      <c r="R55" s="60">
        <f aca="true" t="shared" si="32" ref="R55:AE55">R4</f>
        <v>49399</v>
      </c>
      <c r="S55" s="60">
        <f t="shared" si="32"/>
        <v>49765</v>
      </c>
      <c r="T55" s="60">
        <f t="shared" si="32"/>
        <v>50130</v>
      </c>
      <c r="U55" s="60">
        <f t="shared" si="32"/>
        <v>50495</v>
      </c>
      <c r="V55" s="60">
        <f t="shared" si="32"/>
        <v>50860</v>
      </c>
      <c r="W55" s="60">
        <f t="shared" si="32"/>
        <v>51226</v>
      </c>
      <c r="X55" s="60">
        <f t="shared" si="32"/>
        <v>51591</v>
      </c>
      <c r="Y55" s="60">
        <f t="shared" si="32"/>
        <v>51956</v>
      </c>
      <c r="Z55" s="60">
        <f t="shared" si="32"/>
        <v>52321</v>
      </c>
      <c r="AA55" s="60">
        <f t="shared" si="32"/>
        <v>52687</v>
      </c>
      <c r="AB55" s="60">
        <f t="shared" si="32"/>
        <v>53052</v>
      </c>
      <c r="AC55" s="60">
        <f t="shared" si="32"/>
        <v>53417</v>
      </c>
      <c r="AD55" s="60">
        <f t="shared" si="32"/>
        <v>53782</v>
      </c>
      <c r="AE55" s="60">
        <f t="shared" si="32"/>
        <v>54148</v>
      </c>
    </row>
    <row r="56" spans="3:31" ht="12.75">
      <c r="C56" s="5" t="s">
        <v>161</v>
      </c>
      <c r="D56" s="5" t="str">
        <f>D50</f>
        <v>Rs. Crores</v>
      </c>
      <c r="E56" s="19">
        <f aca="true" t="shared" si="33" ref="E56:Q56">E43</f>
        <v>0</v>
      </c>
      <c r="F56" s="19">
        <f t="shared" si="33"/>
        <v>0</v>
      </c>
      <c r="G56" s="19">
        <f t="shared" si="33"/>
        <v>33.5741371875</v>
      </c>
      <c r="H56" s="19">
        <f t="shared" si="33"/>
        <v>35.812413</v>
      </c>
      <c r="I56" s="19">
        <f t="shared" si="33"/>
        <v>38.05068881250001</v>
      </c>
      <c r="J56" s="19">
        <f t="shared" si="33"/>
        <v>40.28896462500001</v>
      </c>
      <c r="K56" s="19">
        <f t="shared" si="33"/>
        <v>40.288964625</v>
      </c>
      <c r="L56" s="19">
        <f t="shared" si="33"/>
        <v>40.288964625</v>
      </c>
      <c r="M56" s="19">
        <f t="shared" si="33"/>
        <v>40.288964625</v>
      </c>
      <c r="N56" s="19">
        <f t="shared" si="33"/>
        <v>40.288964625</v>
      </c>
      <c r="O56" s="19">
        <f t="shared" si="33"/>
        <v>40.288964625</v>
      </c>
      <c r="P56" s="19">
        <f t="shared" si="33"/>
        <v>40.288964625</v>
      </c>
      <c r="Q56" s="19">
        <f t="shared" si="33"/>
        <v>40.288964625</v>
      </c>
      <c r="R56" s="19">
        <f aca="true" t="shared" si="34" ref="R56:AE56">R43</f>
        <v>40.288964625</v>
      </c>
      <c r="S56" s="19">
        <f t="shared" si="34"/>
        <v>40.288964625</v>
      </c>
      <c r="T56" s="19">
        <f t="shared" si="34"/>
        <v>40.288964625</v>
      </c>
      <c r="U56" s="19">
        <f t="shared" si="34"/>
        <v>40.288964625</v>
      </c>
      <c r="V56" s="19">
        <f t="shared" si="34"/>
        <v>40.288964625</v>
      </c>
      <c r="W56" s="19">
        <f t="shared" si="34"/>
        <v>40.288964625</v>
      </c>
      <c r="X56" s="19">
        <f t="shared" si="34"/>
        <v>40.288964625</v>
      </c>
      <c r="Y56" s="19">
        <f t="shared" si="34"/>
        <v>40.288964625</v>
      </c>
      <c r="Z56" s="19">
        <f t="shared" si="34"/>
        <v>40.288964625</v>
      </c>
      <c r="AA56" s="19">
        <f t="shared" si="34"/>
        <v>40.288964625</v>
      </c>
      <c r="AB56" s="19">
        <f t="shared" si="34"/>
        <v>40.288964625</v>
      </c>
      <c r="AC56" s="19">
        <f t="shared" si="34"/>
        <v>40.288964625</v>
      </c>
      <c r="AD56" s="19">
        <f t="shared" si="34"/>
        <v>40.288964625</v>
      </c>
      <c r="AE56" s="19">
        <f t="shared" si="34"/>
        <v>40.288964625</v>
      </c>
    </row>
    <row r="57" spans="3:31" ht="12.75">
      <c r="C57" s="5" t="s">
        <v>162</v>
      </c>
      <c r="D57" s="5" t="str">
        <f>D56</f>
        <v>Rs. Crores</v>
      </c>
      <c r="E57" s="19">
        <f>'P&amp;L'!E17</f>
        <v>0</v>
      </c>
      <c r="F57" s="19">
        <f>'P&amp;L'!F17</f>
        <v>0</v>
      </c>
      <c r="G57" s="19">
        <f>'P&amp;L'!G17</f>
        <v>20.467381424756066</v>
      </c>
      <c r="H57" s="19">
        <f>'P&amp;L'!H17</f>
        <v>21.841145637846076</v>
      </c>
      <c r="I57" s="19">
        <f>'P&amp;L'!I17</f>
        <v>23.237742567962957</v>
      </c>
      <c r="J57" s="19">
        <f>'P&amp;L'!J17</f>
        <v>24.73409873011822</v>
      </c>
      <c r="K57" s="19">
        <f>'P&amp;L'!K17</f>
        <v>24.970407743442397</v>
      </c>
      <c r="L57" s="19">
        <f>'P&amp;L'!L17</f>
        <v>25.21662413476495</v>
      </c>
      <c r="M57" s="19">
        <f>'P&amp;L'!M17</f>
        <v>25.610601838304817</v>
      </c>
      <c r="N57" s="19">
        <f>'P&amp;L'!N17</f>
        <v>25.881586631236516</v>
      </c>
      <c r="O57" s="19">
        <f>'P&amp;L'!O17</f>
        <v>26.168126776556083</v>
      </c>
      <c r="P57" s="19">
        <f>'P&amp;L'!P17</f>
        <v>26.440658037224804</v>
      </c>
      <c r="Q57" s="19">
        <f>'P&amp;L'!Q17</f>
        <v>26.548852017369253</v>
      </c>
      <c r="R57" s="19">
        <f>'P&amp;L'!R17</f>
        <v>26.660000164096783</v>
      </c>
      <c r="S57" s="19">
        <f>'P&amp;L'!S17</f>
        <v>26.93825891567852</v>
      </c>
      <c r="T57" s="19">
        <f>'P&amp;L'!T17</f>
        <v>27.07193401543632</v>
      </c>
      <c r="U57" s="19">
        <f>'P&amp;L'!U17</f>
        <v>27.197165442933347</v>
      </c>
      <c r="V57" s="19">
        <f>'P&amp;L'!V17</f>
        <v>27.42825707278989</v>
      </c>
      <c r="W57" s="19">
        <f>'P&amp;L'!W17</f>
        <v>27.563085246566594</v>
      </c>
      <c r="X57" s="19">
        <f>'P&amp;L'!X17</f>
        <v>27.70157679941231</v>
      </c>
      <c r="Y57" s="19">
        <f>'P&amp;L'!Y17</f>
        <v>28.157295783414767</v>
      </c>
      <c r="Z57" s="19">
        <f>'P&amp;L'!Z17</f>
        <v>28.31163768873718</v>
      </c>
      <c r="AA57" s="19">
        <f>'P&amp;L'!AA17</f>
        <v>28.470157662181784</v>
      </c>
      <c r="AB57" s="19">
        <f>'P&amp;L'!AB17</f>
        <v>28.75530045115675</v>
      </c>
      <c r="AC57" s="19">
        <f>'P&amp;L'!AC17</f>
        <v>28.92572496059736</v>
      </c>
      <c r="AD57" s="19">
        <f>'P&amp;L'!AD17</f>
        <v>29.116977171327754</v>
      </c>
      <c r="AE57" s="19">
        <f>'P&amp;L'!AE17</f>
        <v>29.297159930867057</v>
      </c>
    </row>
    <row r="58" spans="3:31" ht="12.75">
      <c r="C58" s="5" t="s">
        <v>85</v>
      </c>
      <c r="D58" s="5" t="str">
        <f>D57</f>
        <v>Rs. Crores</v>
      </c>
      <c r="E58" s="19">
        <f>'P&amp;L'!E19</f>
        <v>0</v>
      </c>
      <c r="F58" s="19">
        <f>'P&amp;L'!F19</f>
        <v>0</v>
      </c>
      <c r="G58" s="19">
        <f>'P&amp;L'!G19</f>
        <v>13.106755762743934</v>
      </c>
      <c r="H58" s="19">
        <f>'P&amp;L'!H19</f>
        <v>13.971267362153924</v>
      </c>
      <c r="I58" s="19">
        <f>'P&amp;L'!I19</f>
        <v>14.812946244537056</v>
      </c>
      <c r="J58" s="19">
        <f>'P&amp;L'!J19</f>
        <v>15.554865894881793</v>
      </c>
      <c r="K58" s="19">
        <f>'P&amp;L'!K19</f>
        <v>15.318556881557601</v>
      </c>
      <c r="L58" s="19">
        <f>'P&amp;L'!L19</f>
        <v>15.07234049023505</v>
      </c>
      <c r="M58" s="19">
        <f>'P&amp;L'!M19</f>
        <v>14.678362786695182</v>
      </c>
      <c r="N58" s="19">
        <f>'P&amp;L'!N19</f>
        <v>14.407377993763482</v>
      </c>
      <c r="O58" s="19">
        <f>'P&amp;L'!O19</f>
        <v>14.120837848443916</v>
      </c>
      <c r="P58" s="19">
        <f>'P&amp;L'!P19</f>
        <v>13.848306587775195</v>
      </c>
      <c r="Q58" s="19">
        <f>'P&amp;L'!Q19</f>
        <v>13.740112607630746</v>
      </c>
      <c r="R58" s="19">
        <f>'P&amp;L'!R19</f>
        <v>13.628964460903216</v>
      </c>
      <c r="S58" s="19">
        <f>'P&amp;L'!S19</f>
        <v>13.350705709321478</v>
      </c>
      <c r="T58" s="19">
        <f>'P&amp;L'!T19</f>
        <v>13.217030609563679</v>
      </c>
      <c r="U58" s="19">
        <f>'P&amp;L'!U19</f>
        <v>13.091799182066651</v>
      </c>
      <c r="V58" s="19">
        <f>'P&amp;L'!V19</f>
        <v>12.860707552210108</v>
      </c>
      <c r="W58" s="19">
        <f>'P&amp;L'!W19</f>
        <v>12.725879378433405</v>
      </c>
      <c r="X58" s="19">
        <f>'P&amp;L'!X19</f>
        <v>12.587387825587687</v>
      </c>
      <c r="Y58" s="19">
        <f>'P&amp;L'!Y19</f>
        <v>12.131668841585231</v>
      </c>
      <c r="Z58" s="19">
        <f>'P&amp;L'!Z19</f>
        <v>11.97732693626282</v>
      </c>
      <c r="AA58" s="19">
        <f>'P&amp;L'!AA19</f>
        <v>11.818806962818215</v>
      </c>
      <c r="AB58" s="19">
        <f>'P&amp;L'!AB19</f>
        <v>11.533664173843249</v>
      </c>
      <c r="AC58" s="19">
        <f>'P&amp;L'!AC19</f>
        <v>11.363239664402638</v>
      </c>
      <c r="AD58" s="19">
        <f>'P&amp;L'!AD19</f>
        <v>11.171987453672244</v>
      </c>
      <c r="AE58" s="19">
        <f>'P&amp;L'!AE19</f>
        <v>10.991804694132941</v>
      </c>
    </row>
    <row r="59" spans="3:31" ht="12.75">
      <c r="C59" s="5" t="s">
        <v>86</v>
      </c>
      <c r="D59" s="5" t="s">
        <v>10</v>
      </c>
      <c r="E59" s="12">
        <f>'P&amp;L'!E20</f>
        <v>0</v>
      </c>
      <c r="F59" s="12">
        <f>'P&amp;L'!F20</f>
        <v>0</v>
      </c>
      <c r="G59" s="12">
        <f>'P&amp;L'!G20</f>
        <v>0.3903825045316046</v>
      </c>
      <c r="H59" s="12">
        <f>'P&amp;L'!H20</f>
        <v>0.39012359659076656</v>
      </c>
      <c r="I59" s="12">
        <f>'P&amp;L'!I20</f>
        <v>0.38929508786371464</v>
      </c>
      <c r="J59" s="12">
        <f>'P&amp;L'!J20</f>
        <v>0.38608254244463075</v>
      </c>
      <c r="K59" s="12">
        <f>'P&amp;L'!K20</f>
        <v>0.3802171891022529</v>
      </c>
      <c r="L59" s="12">
        <f>'P&amp;L'!L20</f>
        <v>0.37410592777761287</v>
      </c>
      <c r="M59" s="12">
        <f>'P&amp;L'!M20</f>
        <v>0.36432712836673403</v>
      </c>
      <c r="N59" s="12">
        <f>'P&amp;L'!N20</f>
        <v>0.35760109816332825</v>
      </c>
      <c r="O59" s="12">
        <f>'P&amp;L'!O20</f>
        <v>0.350488973342385</v>
      </c>
      <c r="P59" s="12">
        <f>'P&amp;L'!P20</f>
        <v>0.34372455873889796</v>
      </c>
      <c r="Q59" s="12">
        <f>'P&amp;L'!Q20</f>
        <v>0.3410391092330223</v>
      </c>
      <c r="R59" s="12">
        <f>'P&amp;L'!R20</f>
        <v>0.33828033526694823</v>
      </c>
      <c r="S59" s="12">
        <f>'P&amp;L'!S20</f>
        <v>0.33137376037301125</v>
      </c>
      <c r="T59" s="12">
        <f>'P&amp;L'!T20</f>
        <v>0.3280558518339854</v>
      </c>
      <c r="U59" s="12">
        <f>'P&amp;L'!U20</f>
        <v>0.3249475210872747</v>
      </c>
      <c r="V59" s="12">
        <f>'P&amp;L'!V20</f>
        <v>0.3192116668153298</v>
      </c>
      <c r="W59" s="12">
        <f>'P&amp;L'!W20</f>
        <v>0.31586513818071105</v>
      </c>
      <c r="X59" s="12">
        <f>'P&amp;L'!X20</f>
        <v>0.31242768194090037</v>
      </c>
      <c r="Y59" s="12">
        <f>'P&amp;L'!Y20</f>
        <v>0.30111642119632237</v>
      </c>
      <c r="Z59" s="12">
        <f>'P&amp;L'!Z20</f>
        <v>0.2972855482324974</v>
      </c>
      <c r="AA59" s="12">
        <f>'P&amp;L'!AA20</f>
        <v>0.29335097272478533</v>
      </c>
      <c r="AB59" s="12">
        <f>'P&amp;L'!AB20</f>
        <v>0.2862735312559115</v>
      </c>
      <c r="AC59" s="12">
        <f>'P&amp;L'!AC20</f>
        <v>0.28204347692150794</v>
      </c>
      <c r="AD59" s="12">
        <f>'P&amp;L'!AD20</f>
        <v>0.27729646461899476</v>
      </c>
      <c r="AE59" s="12">
        <f>'P&amp;L'!AE20</f>
        <v>0.2728242037600623</v>
      </c>
    </row>
    <row r="60" spans="3:31" ht="12.75">
      <c r="C60" s="5" t="s">
        <v>154</v>
      </c>
      <c r="D60" s="5" t="str">
        <f>D58</f>
        <v>Rs. Crores</v>
      </c>
      <c r="E60" s="19">
        <f aca="true" t="shared" si="35" ref="E60:Q60">E46</f>
        <v>0</v>
      </c>
      <c r="F60" s="19">
        <f t="shared" si="35"/>
        <v>0</v>
      </c>
      <c r="G60" s="19">
        <f t="shared" si="35"/>
        <v>15.449721250243933</v>
      </c>
      <c r="H60" s="19">
        <f t="shared" si="35"/>
        <v>16.433763882153922</v>
      </c>
      <c r="I60" s="19">
        <f t="shared" si="35"/>
        <v>17.395873797037055</v>
      </c>
      <c r="J60" s="19">
        <f t="shared" si="35"/>
        <v>18.259151479881794</v>
      </c>
      <c r="K60" s="19">
        <f t="shared" si="35"/>
        <v>18.0556242765576</v>
      </c>
      <c r="L60" s="19">
        <f t="shared" si="35"/>
        <v>17.843173149535048</v>
      </c>
      <c r="M60" s="19">
        <f t="shared" si="35"/>
        <v>17.48397366822418</v>
      </c>
      <c r="N60" s="19">
        <f t="shared" si="35"/>
        <v>17.24881044418835</v>
      </c>
      <c r="O60" s="19">
        <f t="shared" si="35"/>
        <v>16.999166514831533</v>
      </c>
      <c r="P60" s="19">
        <f t="shared" si="35"/>
        <v>16.76463835660444</v>
      </c>
      <c r="Q60" s="19">
        <f t="shared" si="35"/>
        <v>16.69558757197487</v>
      </c>
      <c r="R60" s="19">
        <f aca="true" t="shared" si="36" ref="R60:AE60">R46</f>
        <v>16.62475691662766</v>
      </c>
      <c r="S60" s="19">
        <f t="shared" si="36"/>
        <v>16.388025181167656</v>
      </c>
      <c r="T60" s="19">
        <f t="shared" si="36"/>
        <v>16.297122908015243</v>
      </c>
      <c r="U60" s="19">
        <f t="shared" si="36"/>
        <v>16.215947491921764</v>
      </c>
      <c r="V60" s="19">
        <f t="shared" si="36"/>
        <v>16.030233553810874</v>
      </c>
      <c r="W60" s="19">
        <f t="shared" si="36"/>
        <v>15.942144402532193</v>
      </c>
      <c r="X60" s="19">
        <f t="shared" si="36"/>
        <v>15.851794042859439</v>
      </c>
      <c r="Y60" s="19">
        <f t="shared" si="36"/>
        <v>15.445660487825137</v>
      </c>
      <c r="Z60" s="19">
        <f t="shared" si="36"/>
        <v>15.34239157433992</v>
      </c>
      <c r="AA60" s="19">
        <f t="shared" si="36"/>
        <v>15.236476782487628</v>
      </c>
      <c r="AB60" s="19">
        <f t="shared" si="36"/>
        <v>15.005517330552745</v>
      </c>
      <c r="AC60" s="19">
        <f t="shared" si="36"/>
        <v>14.89090165826342</v>
      </c>
      <c r="AD60" s="19">
        <f t="shared" si="36"/>
        <v>14.75713254979885</v>
      </c>
      <c r="AE60" s="19">
        <f t="shared" si="36"/>
        <v>14.636157385593346</v>
      </c>
    </row>
    <row r="61" spans="3:31" ht="12.75">
      <c r="C61" s="5" t="s">
        <v>163</v>
      </c>
      <c r="D61" s="5" t="s">
        <v>10</v>
      </c>
      <c r="E61" s="12">
        <f aca="true" t="shared" si="37" ref="E61:Q61">E47</f>
        <v>0</v>
      </c>
      <c r="F61" s="12">
        <f t="shared" si="37"/>
        <v>0</v>
      </c>
      <c r="G61" s="12">
        <f t="shared" si="37"/>
        <v>0.4601673354690415</v>
      </c>
      <c r="H61" s="12">
        <f t="shared" si="37"/>
        <v>0.458884573964729</v>
      </c>
      <c r="I61" s="12">
        <f t="shared" si="37"/>
        <v>0.45717631769447353</v>
      </c>
      <c r="J61" s="12">
        <f t="shared" si="37"/>
        <v>0.45320478324110786</v>
      </c>
      <c r="K61" s="12">
        <f t="shared" si="37"/>
        <v>0.44815309712262436</v>
      </c>
      <c r="L61" s="12">
        <f t="shared" si="37"/>
        <v>0.4428799130385955</v>
      </c>
      <c r="M61" s="12">
        <f t="shared" si="37"/>
        <v>0.4339643331855461</v>
      </c>
      <c r="N61" s="12">
        <f t="shared" si="37"/>
        <v>0.42812741912670466</v>
      </c>
      <c r="O61" s="12">
        <f t="shared" si="37"/>
        <v>0.4219310839346628</v>
      </c>
      <c r="P61" s="12">
        <f t="shared" si="37"/>
        <v>0.4161099326489441</v>
      </c>
      <c r="Q61" s="12">
        <f t="shared" si="37"/>
        <v>0.4143960443603698</v>
      </c>
      <c r="R61" s="12">
        <f aca="true" t="shared" si="38" ref="R61:AE61">R47</f>
        <v>0.41263797844811606</v>
      </c>
      <c r="S61" s="12">
        <f t="shared" si="38"/>
        <v>0.4067621328496142</v>
      </c>
      <c r="T61" s="12">
        <f t="shared" si="38"/>
        <v>0.4045058754848864</v>
      </c>
      <c r="U61" s="12">
        <f t="shared" si="38"/>
        <v>0.40249104544770276</v>
      </c>
      <c r="V61" s="12">
        <f t="shared" si="38"/>
        <v>0.3978814969065707</v>
      </c>
      <c r="W61" s="12">
        <f t="shared" si="38"/>
        <v>0.3956950631746892</v>
      </c>
      <c r="X61" s="12">
        <f t="shared" si="38"/>
        <v>0.3934525046846979</v>
      </c>
      <c r="Y61" s="12">
        <f t="shared" si="38"/>
        <v>0.38337198862243377</v>
      </c>
      <c r="Z61" s="12">
        <f t="shared" si="38"/>
        <v>0.3808087826813922</v>
      </c>
      <c r="AA61" s="12">
        <f t="shared" si="38"/>
        <v>0.37817990420714687</v>
      </c>
      <c r="AB61" s="12">
        <f t="shared" si="38"/>
        <v>0.3724473306827439</v>
      </c>
      <c r="AC61" s="12">
        <f t="shared" si="38"/>
        <v>0.3696024903311454</v>
      </c>
      <c r="AD61" s="12">
        <f t="shared" si="38"/>
        <v>0.36628224843092133</v>
      </c>
      <c r="AE61" s="12">
        <f t="shared" si="38"/>
        <v>0.3632795610863467</v>
      </c>
    </row>
    <row r="62" spans="3:31" ht="12.75">
      <c r="C62" s="5" t="s">
        <v>164</v>
      </c>
      <c r="D62" s="5" t="str">
        <f>D60</f>
        <v>Rs. Crores</v>
      </c>
      <c r="E62" s="19">
        <f aca="true" t="shared" si="39" ref="E62:Q62">E48</f>
        <v>0</v>
      </c>
      <c r="F62" s="19">
        <f t="shared" si="39"/>
        <v>0</v>
      </c>
      <c r="G62" s="19">
        <f t="shared" si="39"/>
        <v>16.82333730743303</v>
      </c>
      <c r="H62" s="19">
        <f t="shared" si="39"/>
        <v>23.179945903086796</v>
      </c>
      <c r="I62" s="19">
        <f t="shared" si="39"/>
        <v>22.193408688351006</v>
      </c>
      <c r="J62" s="19">
        <f t="shared" si="39"/>
        <v>21.493244611270146</v>
      </c>
      <c r="K62" s="19">
        <f t="shared" si="39"/>
        <v>20.401147482747298</v>
      </c>
      <c r="L62" s="19">
        <f t="shared" si="39"/>
        <v>19.29592302450853</v>
      </c>
      <c r="M62" s="19">
        <f t="shared" si="39"/>
        <v>18.64290518074373</v>
      </c>
      <c r="N62" s="19">
        <f t="shared" si="39"/>
        <v>17.50713430243064</v>
      </c>
      <c r="O62" s="19">
        <f t="shared" si="39"/>
        <v>16.365849970346435</v>
      </c>
      <c r="P62" s="19">
        <f t="shared" si="39"/>
        <v>15.55926249692102</v>
      </c>
      <c r="Q62" s="19">
        <f t="shared" si="39"/>
        <v>14.246026076117843</v>
      </c>
      <c r="R62" s="19">
        <f aca="true" t="shared" si="40" ref="R62:AE62">R48</f>
        <v>13.975947205056318</v>
      </c>
      <c r="S62" s="19">
        <f t="shared" si="40"/>
        <v>14.627103321022828</v>
      </c>
      <c r="T62" s="19">
        <f t="shared" si="40"/>
        <v>14.840423860170842</v>
      </c>
      <c r="U62" s="19">
        <f t="shared" si="40"/>
        <v>15.025341333158313</v>
      </c>
      <c r="V62" s="19">
        <f t="shared" si="40"/>
        <v>15.516999530445199</v>
      </c>
      <c r="W62" s="19">
        <f t="shared" si="40"/>
        <v>15.722158109989536</v>
      </c>
      <c r="X62" s="19">
        <f t="shared" si="40"/>
        <v>15.935471799522537</v>
      </c>
      <c r="Y62" s="19">
        <f t="shared" si="40"/>
        <v>17.073520807834704</v>
      </c>
      <c r="Z62" s="19">
        <f t="shared" si="40"/>
        <v>17.324155191648494</v>
      </c>
      <c r="AA62" s="19">
        <f t="shared" si="40"/>
        <v>17.585338683782627</v>
      </c>
      <c r="AB62" s="19">
        <f t="shared" si="40"/>
        <v>18.219612153498396</v>
      </c>
      <c r="AC62" s="19">
        <f t="shared" si="40"/>
        <v>18.512691350582713</v>
      </c>
      <c r="AD62" s="19">
        <f t="shared" si="40"/>
        <v>18.86687530392092</v>
      </c>
      <c r="AE62" s="19">
        <f t="shared" si="40"/>
        <v>19.187798695416454</v>
      </c>
    </row>
    <row r="63" spans="3:31" ht="12.75">
      <c r="C63" s="5" t="s">
        <v>165</v>
      </c>
      <c r="D63" s="5" t="s">
        <v>10</v>
      </c>
      <c r="E63" s="12">
        <f aca="true" t="shared" si="41" ref="E63:Q63">E49</f>
        <v>0</v>
      </c>
      <c r="F63" s="12">
        <f t="shared" si="41"/>
        <v>0</v>
      </c>
      <c r="G63" s="12">
        <f t="shared" si="41"/>
        <v>0.5010802575053673</v>
      </c>
      <c r="H63" s="12">
        <f t="shared" si="41"/>
        <v>0.6472600967459745</v>
      </c>
      <c r="I63" s="12">
        <f t="shared" si="41"/>
        <v>0.5832590520952741</v>
      </c>
      <c r="J63" s="12">
        <f t="shared" si="41"/>
        <v>0.5334772142030478</v>
      </c>
      <c r="K63" s="12">
        <f t="shared" si="41"/>
        <v>0.5063706072527869</v>
      </c>
      <c r="L63" s="12">
        <f t="shared" si="41"/>
        <v>0.4789381708889852</v>
      </c>
      <c r="M63" s="12">
        <f t="shared" si="41"/>
        <v>0.46272981582593176</v>
      </c>
      <c r="N63" s="12">
        <f t="shared" si="41"/>
        <v>0.4345391961640821</v>
      </c>
      <c r="O63" s="12">
        <f t="shared" si="41"/>
        <v>0.40621172876185413</v>
      </c>
      <c r="P63" s="12">
        <f t="shared" si="41"/>
        <v>0.38619166915166214</v>
      </c>
      <c r="Q63" s="12">
        <f t="shared" si="41"/>
        <v>0.3535962318395727</v>
      </c>
      <c r="R63" s="12">
        <f aca="true" t="shared" si="42" ref="R63:AE63">R49</f>
        <v>0.3468926872442883</v>
      </c>
      <c r="S63" s="12">
        <f t="shared" si="42"/>
        <v>0.36305483293423874</v>
      </c>
      <c r="T63" s="12">
        <f t="shared" si="42"/>
        <v>0.36834959642924414</v>
      </c>
      <c r="U63" s="12">
        <f t="shared" si="42"/>
        <v>0.37293937615450234</v>
      </c>
      <c r="V63" s="12">
        <f t="shared" si="42"/>
        <v>0.38514267305883143</v>
      </c>
      <c r="W63" s="12">
        <f t="shared" si="42"/>
        <v>0.39023485106474204</v>
      </c>
      <c r="X63" s="12">
        <f t="shared" si="42"/>
        <v>0.39552944454755984</v>
      </c>
      <c r="Y63" s="12">
        <f t="shared" si="42"/>
        <v>0.42377660897347286</v>
      </c>
      <c r="Z63" s="12">
        <f t="shared" si="42"/>
        <v>0.42999752793097484</v>
      </c>
      <c r="AA63" s="12">
        <f t="shared" si="42"/>
        <v>0.4364802830616953</v>
      </c>
      <c r="AB63" s="12">
        <f t="shared" si="42"/>
        <v>0.45222338978135</v>
      </c>
      <c r="AC63" s="12">
        <f t="shared" si="42"/>
        <v>0.4594978183950468</v>
      </c>
      <c r="AD63" s="12">
        <f t="shared" si="42"/>
        <v>0.46828890937082307</v>
      </c>
      <c r="AE63" s="12">
        <f t="shared" si="42"/>
        <v>0.4762544501704592</v>
      </c>
    </row>
    <row r="64" spans="3:31" ht="12.75">
      <c r="C64" s="5" t="s">
        <v>158</v>
      </c>
      <c r="D64" s="5" t="str">
        <f>D62</f>
        <v>Rs. Crores</v>
      </c>
      <c r="E64" s="19">
        <f aca="true" t="shared" si="43" ref="E64:Q64">E50</f>
        <v>0</v>
      </c>
      <c r="F64" s="19">
        <f t="shared" si="43"/>
        <v>0</v>
      </c>
      <c r="G64" s="19">
        <f t="shared" si="43"/>
        <v>12.426456349036274</v>
      </c>
      <c r="H64" s="19">
        <f t="shared" si="43"/>
        <v>18.77077394614166</v>
      </c>
      <c r="I64" s="19">
        <f t="shared" si="43"/>
        <v>17.76776169682825</v>
      </c>
      <c r="J64" s="19">
        <f t="shared" si="43"/>
        <v>16.84346801374712</v>
      </c>
      <c r="K64" s="19">
        <f t="shared" si="43"/>
        <v>15.698957520143075</v>
      </c>
      <c r="L64" s="19">
        <f t="shared" si="43"/>
        <v>14.537746071885357</v>
      </c>
      <c r="M64" s="19">
        <f t="shared" si="43"/>
        <v>13.464366708460703</v>
      </c>
      <c r="N64" s="19">
        <f t="shared" si="43"/>
        <v>12.257993755478402</v>
      </c>
      <c r="O64" s="19">
        <f t="shared" si="43"/>
        <v>11.030142124397308</v>
      </c>
      <c r="P64" s="19">
        <f t="shared" si="43"/>
        <v>9.764397232230687</v>
      </c>
      <c r="Q64" s="19">
        <f t="shared" si="43"/>
        <v>8.42719400033898</v>
      </c>
      <c r="R64" s="19">
        <f aca="true" t="shared" si="44" ref="R64:AE64">R50</f>
        <v>8.132323687733397</v>
      </c>
      <c r="S64" s="19">
        <f t="shared" si="44"/>
        <v>8.354884771261087</v>
      </c>
      <c r="T64" s="19">
        <f t="shared" si="44"/>
        <v>8.50849854034765</v>
      </c>
      <c r="U64" s="19">
        <f t="shared" si="44"/>
        <v>8.661719026602428</v>
      </c>
      <c r="V64" s="19">
        <f t="shared" si="44"/>
        <v>8.878588306159939</v>
      </c>
      <c r="W64" s="19">
        <f t="shared" si="44"/>
        <v>9.047065997875078</v>
      </c>
      <c r="X64" s="19">
        <f t="shared" si="44"/>
        <v>9.22233371156789</v>
      </c>
      <c r="Y64" s="19">
        <f t="shared" si="44"/>
        <v>9.599576231717256</v>
      </c>
      <c r="Z64" s="19">
        <f t="shared" si="44"/>
        <v>9.79990384737925</v>
      </c>
      <c r="AA64" s="19">
        <f t="shared" si="44"/>
        <v>10.008783284819547</v>
      </c>
      <c r="AB64" s="19">
        <f t="shared" si="44"/>
        <v>10.31164570465613</v>
      </c>
      <c r="AC64" s="19">
        <f t="shared" si="44"/>
        <v>10.543857070377626</v>
      </c>
      <c r="AD64" s="19">
        <f t="shared" si="44"/>
        <v>10.79850451156091</v>
      </c>
      <c r="AE64" s="19">
        <f t="shared" si="44"/>
        <v>11.052738781331266</v>
      </c>
    </row>
    <row r="65" spans="3:31" ht="12.75">
      <c r="C65" s="5" t="s">
        <v>159</v>
      </c>
      <c r="D65" s="5" t="s">
        <v>10</v>
      </c>
      <c r="E65" s="12">
        <f aca="true" t="shared" si="45" ref="E65:Q65">E51</f>
        <v>0</v>
      </c>
      <c r="F65" s="12">
        <f t="shared" si="45"/>
        <v>0</v>
      </c>
      <c r="G65" s="12">
        <f t="shared" si="45"/>
        <v>0.37011990150748453</v>
      </c>
      <c r="H65" s="12">
        <f t="shared" si="45"/>
        <v>0.5241415580162571</v>
      </c>
      <c r="I65" s="12">
        <f t="shared" si="45"/>
        <v>0.4669498043617904</v>
      </c>
      <c r="J65" s="12">
        <f t="shared" si="45"/>
        <v>0.418066539324653</v>
      </c>
      <c r="K65" s="12">
        <f t="shared" si="45"/>
        <v>0.38965899635955403</v>
      </c>
      <c r="L65" s="12">
        <f t="shared" si="45"/>
        <v>0.36083692413541035</v>
      </c>
      <c r="M65" s="12">
        <f t="shared" si="45"/>
        <v>0.33419490507596294</v>
      </c>
      <c r="N65" s="12">
        <f t="shared" si="45"/>
        <v>0.30425189303256767</v>
      </c>
      <c r="O65" s="12">
        <f t="shared" si="45"/>
        <v>0.2737757653258956</v>
      </c>
      <c r="P65" s="12">
        <f t="shared" si="45"/>
        <v>0.242359100639973</v>
      </c>
      <c r="Q65" s="12">
        <f t="shared" si="45"/>
        <v>0.20916879048089912</v>
      </c>
      <c r="R65" s="12">
        <f aca="true" t="shared" si="46" ref="R65:AE65">R51</f>
        <v>0.20184990513971038</v>
      </c>
      <c r="S65" s="12">
        <f t="shared" si="46"/>
        <v>0.20737402534481456</v>
      </c>
      <c r="T65" s="12">
        <f t="shared" si="46"/>
        <v>0.21118682546306936</v>
      </c>
      <c r="U65" s="12">
        <f t="shared" si="46"/>
        <v>0.21498986402911138</v>
      </c>
      <c r="V65" s="12">
        <f t="shared" si="46"/>
        <v>0.2203727097183982</v>
      </c>
      <c r="W65" s="12">
        <f t="shared" si="46"/>
        <v>0.22455444268878574</v>
      </c>
      <c r="X65" s="12">
        <f t="shared" si="46"/>
        <v>0.22890470870639532</v>
      </c>
      <c r="Y65" s="12">
        <f t="shared" si="46"/>
        <v>0.2382681292772799</v>
      </c>
      <c r="Z65" s="12">
        <f t="shared" si="46"/>
        <v>0.24324039941444017</v>
      </c>
      <c r="AA65" s="12">
        <f t="shared" si="46"/>
        <v>0.24842493168982863</v>
      </c>
      <c r="AB65" s="12">
        <f t="shared" si="46"/>
        <v>0.25594218666660834</v>
      </c>
      <c r="AC65" s="12">
        <f t="shared" si="46"/>
        <v>0.2617058335580801</v>
      </c>
      <c r="AD65" s="12">
        <f t="shared" si="46"/>
        <v>0.2680263593783259</v>
      </c>
      <c r="AE65" s="12">
        <f t="shared" si="46"/>
        <v>0.27433662999800323</v>
      </c>
    </row>
    <row r="66" spans="3:31" ht="12.75">
      <c r="C66" s="5" t="s">
        <v>223</v>
      </c>
      <c r="D66" s="5" t="str">
        <f>D64</f>
        <v>Rs. Crores</v>
      </c>
      <c r="E66" s="12"/>
      <c r="F66" s="19">
        <f>'P&amp;L'!F30</f>
        <v>0</v>
      </c>
      <c r="G66" s="19">
        <f>'P&amp;L'!G30</f>
        <v>5.855288333721521</v>
      </c>
      <c r="H66" s="19">
        <f>'P&amp;L'!H30</f>
        <v>4.603459543266244</v>
      </c>
      <c r="I66" s="19">
        <f>'P&amp;L'!I30</f>
        <v>5.757117854659246</v>
      </c>
      <c r="J66" s="19">
        <f>'P&amp;L'!J30</f>
        <v>6.764662727406638</v>
      </c>
      <c r="K66" s="19">
        <f>'P&amp;L'!K30</f>
        <v>7.077929244627166</v>
      </c>
      <c r="L66" s="19">
        <f>'P&amp;L'!L30</f>
        <v>7.383360028452249</v>
      </c>
      <c r="M66" s="19">
        <f>'P&amp;L'!M30</f>
        <v>7.459772453283538</v>
      </c>
      <c r="N66" s="19">
        <f>'P&amp;L'!N30</f>
        <v>7.745587283334297</v>
      </c>
      <c r="O66" s="19">
        <f>'P&amp;L'!O30</f>
        <v>7.898326475812436</v>
      </c>
      <c r="P66" s="19">
        <f>'P&amp;L'!P30</f>
        <v>7.319114080998126</v>
      </c>
      <c r="Q66" s="19">
        <f>'P&amp;L'!Q30</f>
        <v>7.717724473262759</v>
      </c>
      <c r="R66" s="19">
        <f>'P&amp;L'!R30</f>
        <v>7.657415314021347</v>
      </c>
      <c r="S66" s="19">
        <f>'P&amp;L'!S30</f>
        <v>7.227628670345931</v>
      </c>
      <c r="T66" s="19">
        <f>'P&amp;L'!T30</f>
        <v>7.1966711176562335</v>
      </c>
      <c r="U66" s="19">
        <f>'P&amp;L'!U30</f>
        <v>7.0279394724204725</v>
      </c>
      <c r="V66" s="19">
        <f>'P&amp;L'!V30</f>
        <v>6.844918729024405</v>
      </c>
      <c r="W66" s="19">
        <f>'P&amp;L'!W30</f>
        <v>6.765791028674295</v>
      </c>
      <c r="X66" s="19">
        <f>'P&amp;L'!X30</f>
        <v>6.597271636687653</v>
      </c>
      <c r="Y66" s="19">
        <f>'P&amp;L'!Y30</f>
        <v>5.984446955942505</v>
      </c>
      <c r="Z66" s="19">
        <f>'P&amp;L'!Z30</f>
        <v>6.028441833027709</v>
      </c>
      <c r="AA66" s="19">
        <f>'P&amp;L'!AA30</f>
        <v>5.842587547018779</v>
      </c>
      <c r="AB66" s="19">
        <f>'P&amp;L'!AB30</f>
        <v>5.494939576057433</v>
      </c>
      <c r="AC66" s="19">
        <f>'P&amp;L'!AC30</f>
        <v>5.402558165943457</v>
      </c>
      <c r="AD66" s="19">
        <f>'P&amp;L'!AD30</f>
        <v>5.196456216758077</v>
      </c>
      <c r="AE66" s="19">
        <f>'P&amp;L'!AE30</f>
        <v>5.02700251248509</v>
      </c>
    </row>
    <row r="67" spans="3:31" ht="12.75">
      <c r="C67" s="5" t="s">
        <v>166</v>
      </c>
      <c r="D67" s="5" t="s">
        <v>10</v>
      </c>
      <c r="E67" s="27">
        <f>IF('P&amp;L'!E6&lt;=0,0,'P&amp;L'!E30/'P&amp;L'!E6)</f>
        <v>0</v>
      </c>
      <c r="F67" s="27">
        <f>IF('P&amp;L'!F6&lt;=0,0,'P&amp;L'!F30/'P&amp;L'!F6)</f>
        <v>0</v>
      </c>
      <c r="G67" s="27">
        <f>IF('P&amp;L'!G6&lt;=0,0,'P&amp;L'!G30/'P&amp;L'!G6)</f>
        <v>0.174398773109842</v>
      </c>
      <c r="H67" s="27">
        <f>IF('P&amp;L'!H6&lt;=0,0,'P&amp;L'!H30/'P&amp;L'!H6)</f>
        <v>0.12854368520954576</v>
      </c>
      <c r="I67" s="27">
        <f>IF('P&amp;L'!I6&lt;=0,0,'P&amp;L'!I30/'P&amp;L'!I6)</f>
        <v>0.1513012782246396</v>
      </c>
      <c r="J67" s="27">
        <f>IF('P&amp;L'!J6&lt;=0,0,'P&amp;L'!J30/'P&amp;L'!J6)</f>
        <v>0.16790361307048943</v>
      </c>
      <c r="K67" s="27">
        <f>IF('P&amp;L'!K6&lt;=0,0,'P&amp;L'!K30/'P&amp;L'!K6)</f>
        <v>0.1756791049486337</v>
      </c>
      <c r="L67" s="27">
        <f>IF('P&amp;L'!L6&lt;=0,0,'P&amp;L'!L30/'P&amp;L'!L6)</f>
        <v>0.18326010849806615</v>
      </c>
      <c r="M67" s="27">
        <f>IF('P&amp;L'!M6&lt;=0,0,'P&amp;L'!M30/'P&amp;L'!M6)</f>
        <v>0.18515671779399911</v>
      </c>
      <c r="N67" s="27">
        <f>IF('P&amp;L'!N6&lt;=0,0,'P&amp;L'!N30/'P&amp;L'!N6)</f>
        <v>0.19225083978772753</v>
      </c>
      <c r="O67" s="27">
        <f>IF('P&amp;L'!O6&lt;=0,0,'P&amp;L'!O30/'P&amp;L'!O6)</f>
        <v>0.19604193230896252</v>
      </c>
      <c r="P67" s="27">
        <f>IF('P&amp;L'!P6&lt;=0,0,'P&amp;L'!P30/'P&amp;L'!P6)</f>
        <v>0.18166547959528576</v>
      </c>
      <c r="Q67" s="27">
        <f>IF('P&amp;L'!Q6&lt;=0,0,'P&amp;L'!Q30/'P&amp;L'!Q6)</f>
        <v>0.19155926554820865</v>
      </c>
      <c r="R67" s="27">
        <f>IF('P&amp;L'!R6&lt;=0,0,'P&amp;L'!R30/'P&amp;L'!R6)</f>
        <v>0.19006235045488828</v>
      </c>
      <c r="S67" s="27">
        <f>IF('P&amp;L'!S6&lt;=0,0,'P&amp;L'!S30/'P&amp;L'!S6)</f>
        <v>0.17939474835402106</v>
      </c>
      <c r="T67" s="27">
        <f>IF('P&amp;L'!T6&lt;=0,0,'P&amp;L'!T30/'P&amp;L'!T6)</f>
        <v>0.17862636045977154</v>
      </c>
      <c r="U67" s="27">
        <f>IF('P&amp;L'!U6&lt;=0,0,'P&amp;L'!U30/'P&amp;L'!U6)</f>
        <v>0.1744383241871526</v>
      </c>
      <c r="V67" s="27">
        <f>IF('P&amp;L'!V6&lt;=0,0,'P&amp;L'!V30/'P&amp;L'!V6)</f>
        <v>0.16989562260373936</v>
      </c>
      <c r="W67" s="27">
        <f>IF('P&amp;L'!W6&lt;=0,0,'P&amp;L'!W30/'P&amp;L'!W6)</f>
        <v>0.16793161828924252</v>
      </c>
      <c r="X67" s="27">
        <f>IF('P&amp;L'!X6&lt;=0,0,'P&amp;L'!X30/'P&amp;L'!X6)</f>
        <v>0.16374885028924105</v>
      </c>
      <c r="Y67" s="27">
        <f>IF('P&amp;L'!Y6&lt;=0,0,'P&amp;L'!Y30/'P&amp;L'!Y6)</f>
        <v>0.14853811736400524</v>
      </c>
      <c r="Z67" s="27">
        <f>IF('P&amp;L'!Z6&lt;=0,0,'P&amp;L'!Z30/'P&amp;L'!Z6)</f>
        <v>0.14963010067741866</v>
      </c>
      <c r="AA67" s="27">
        <f>IF('P&amp;L'!AA6&lt;=0,0,'P&amp;L'!AA30/'P&amp;L'!AA6)</f>
        <v>0.14501706860427363</v>
      </c>
      <c r="AB67" s="27">
        <f>IF('P&amp;L'!AB6&lt;=0,0,'P&amp;L'!AB30/'P&amp;L'!AB6)</f>
        <v>0.1363882052369181</v>
      </c>
      <c r="AC67" s="27">
        <f>IF('P&amp;L'!AC6&lt;=0,0,'P&amp;L'!AC30/'P&amp;L'!AC6)</f>
        <v>0.13409523466857912</v>
      </c>
      <c r="AD67" s="27">
        <f>IF('P&amp;L'!AD6&lt;=0,0,'P&amp;L'!AD30/'P&amp;L'!AD6)</f>
        <v>0.1289796415749435</v>
      </c>
      <c r="AE67" s="27">
        <f>IF('P&amp;L'!AE6&lt;=0,0,'P&amp;L'!AE30/'P&amp;L'!AE6)</f>
        <v>0.12477368329703237</v>
      </c>
    </row>
    <row r="68" spans="3:31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3:31" ht="12.75">
      <c r="C69" s="5" t="s">
        <v>167</v>
      </c>
      <c r="D69" s="5" t="str">
        <f>D66</f>
        <v>Rs. Crores</v>
      </c>
      <c r="E69" s="14">
        <f>'BS'!E6</f>
        <v>2.7711451076166043</v>
      </c>
      <c r="F69" s="14">
        <f>'BS'!F6</f>
        <v>8.415715064733337</v>
      </c>
      <c r="G69" s="14">
        <f>'BS'!G6</f>
        <v>10.325088871687884</v>
      </c>
      <c r="H69" s="14">
        <f>'BS'!H6</f>
        <v>10.325088871687884</v>
      </c>
      <c r="I69" s="14">
        <f>'BS'!I6</f>
        <v>10.325088871687884</v>
      </c>
      <c r="J69" s="14">
        <f>'BS'!J6</f>
        <v>12.425088871687883</v>
      </c>
      <c r="K69" s="14">
        <f>'BS'!K6</f>
        <v>12.425088871687883</v>
      </c>
      <c r="L69" s="14">
        <f>'BS'!L6</f>
        <v>12.425088871687883</v>
      </c>
      <c r="M69" s="14">
        <f>'BS'!M6</f>
        <v>15.925088871687883</v>
      </c>
      <c r="N69" s="14">
        <f>'BS'!N6</f>
        <v>15.925088871687883</v>
      </c>
      <c r="O69" s="14">
        <f>'BS'!O6</f>
        <v>16.025088871687885</v>
      </c>
      <c r="P69" s="14">
        <f>'BS'!P6</f>
        <v>20.025088871687885</v>
      </c>
      <c r="Q69" s="14">
        <f>'BS'!Q6</f>
        <v>20.025088871687885</v>
      </c>
      <c r="R69" s="14">
        <f>'BS'!R6</f>
        <v>20.025088871687885</v>
      </c>
      <c r="S69" s="14">
        <f>'BS'!S6</f>
        <v>20.025088871687885</v>
      </c>
      <c r="T69" s="14">
        <f>'BS'!T6</f>
        <v>20.025088871687885</v>
      </c>
      <c r="U69" s="14">
        <f>'BS'!U6</f>
        <v>20.025088871687885</v>
      </c>
      <c r="V69" s="14">
        <f>'BS'!V6</f>
        <v>20.025088871687885</v>
      </c>
      <c r="W69" s="14">
        <f>'BS'!W6</f>
        <v>20.025088871687885</v>
      </c>
      <c r="X69" s="14">
        <f>'BS'!X6</f>
        <v>20.025088871687885</v>
      </c>
      <c r="Y69" s="14">
        <f>'BS'!Y6</f>
        <v>20.025088871687885</v>
      </c>
      <c r="Z69" s="14">
        <f>'BS'!Z6</f>
        <v>20.025088871687885</v>
      </c>
      <c r="AA69" s="14">
        <f>'BS'!AA6</f>
        <v>20.025088871687885</v>
      </c>
      <c r="AB69" s="14">
        <f>'BS'!AB6</f>
        <v>20.025088871687885</v>
      </c>
      <c r="AC69" s="14">
        <f>'BS'!AC6</f>
        <v>20.025088871687885</v>
      </c>
      <c r="AD69" s="14">
        <f>'BS'!AD6</f>
        <v>20.025088871687885</v>
      </c>
      <c r="AE69" s="14">
        <f>'BS'!AE6</f>
        <v>20.025088871687885</v>
      </c>
    </row>
    <row r="70" spans="3:31" ht="12.75">
      <c r="C70" s="5" t="s">
        <v>106</v>
      </c>
      <c r="D70" s="5" t="str">
        <f>D69</f>
        <v>Rs. Crores</v>
      </c>
      <c r="E70" s="14">
        <f>'BS'!E7</f>
        <v>0</v>
      </c>
      <c r="F70" s="14">
        <f>'BS'!F7</f>
        <v>0</v>
      </c>
      <c r="G70" s="14">
        <f>'BS'!G7</f>
        <v>5.855288333721521</v>
      </c>
      <c r="H70" s="14">
        <f>'BS'!H7</f>
        <v>10.458747876987765</v>
      </c>
      <c r="I70" s="14">
        <f>'BS'!I7</f>
        <v>15.064442160715162</v>
      </c>
      <c r="J70" s="14">
        <f>'BS'!J7</f>
        <v>20.476172342640474</v>
      </c>
      <c r="K70" s="14">
        <f>'BS'!K7</f>
        <v>26.138515738342207</v>
      </c>
      <c r="L70" s="14">
        <f>'BS'!L7</f>
        <v>32.045203761104005</v>
      </c>
      <c r="M70" s="14">
        <f>'BS'!M7</f>
        <v>38.01302172373084</v>
      </c>
      <c r="N70" s="14">
        <f>'BS'!N7</f>
        <v>44.209491550398276</v>
      </c>
      <c r="O70" s="14">
        <f>'BS'!O7</f>
        <v>50.52815273104822</v>
      </c>
      <c r="P70" s="14">
        <f>'BS'!P7</f>
        <v>56.383443995846726</v>
      </c>
      <c r="Q70" s="14">
        <f>'BS'!Q7</f>
        <v>62.55762357445693</v>
      </c>
      <c r="R70" s="14">
        <f>'BS'!R7</f>
        <v>68.683555825674</v>
      </c>
      <c r="S70" s="14">
        <f>'BS'!S7</f>
        <v>74.46565876195075</v>
      </c>
      <c r="T70" s="14">
        <f>'BS'!T7</f>
        <v>80.22299565607574</v>
      </c>
      <c r="U70" s="14">
        <f>'BS'!U7</f>
        <v>85.84534723401211</v>
      </c>
      <c r="V70" s="14">
        <f>'BS'!V7</f>
        <v>91.32128221723164</v>
      </c>
      <c r="W70" s="14">
        <f>'BS'!W7</f>
        <v>96.73391504017107</v>
      </c>
      <c r="X70" s="14">
        <f>'BS'!X7</f>
        <v>102.0117323495212</v>
      </c>
      <c r="Y70" s="14">
        <f>'BS'!Y7</f>
        <v>106.7992899142752</v>
      </c>
      <c r="Z70" s="14">
        <f>'BS'!Z7</f>
        <v>111.62204338069738</v>
      </c>
      <c r="AA70" s="14">
        <f>'BS'!AA7</f>
        <v>116.2961134183124</v>
      </c>
      <c r="AB70" s="14">
        <f>'BS'!AB7</f>
        <v>120.69206507915835</v>
      </c>
      <c r="AC70" s="14">
        <f>'BS'!AC7</f>
        <v>125.01411161191312</v>
      </c>
      <c r="AD70" s="14">
        <f>'BS'!AD7</f>
        <v>129.1712765853196</v>
      </c>
      <c r="AE70" s="14">
        <f>'BS'!AE7</f>
        <v>133.19287859530766</v>
      </c>
    </row>
    <row r="71" spans="3:31" ht="12.75">
      <c r="C71" s="5" t="s">
        <v>168</v>
      </c>
      <c r="D71" s="5" t="str">
        <f>D70</f>
        <v>Rs. Crores</v>
      </c>
      <c r="E71" s="14">
        <f aca="true" t="shared" si="47" ref="E71:Q71">SUM(E69:E70)</f>
        <v>2.7711451076166043</v>
      </c>
      <c r="F71" s="14">
        <f t="shared" si="47"/>
        <v>8.415715064733337</v>
      </c>
      <c r="G71" s="14">
        <f t="shared" si="47"/>
        <v>16.180377205409407</v>
      </c>
      <c r="H71" s="14">
        <f t="shared" si="47"/>
        <v>20.783836748675647</v>
      </c>
      <c r="I71" s="14">
        <f t="shared" si="47"/>
        <v>25.389531032403045</v>
      </c>
      <c r="J71" s="14">
        <f t="shared" si="47"/>
        <v>32.90126121432836</v>
      </c>
      <c r="K71" s="14">
        <f t="shared" si="47"/>
        <v>38.56360461003009</v>
      </c>
      <c r="L71" s="14">
        <f t="shared" si="47"/>
        <v>44.47029263279189</v>
      </c>
      <c r="M71" s="14">
        <f t="shared" si="47"/>
        <v>53.93811059541872</v>
      </c>
      <c r="N71" s="14">
        <f t="shared" si="47"/>
        <v>60.13458042208616</v>
      </c>
      <c r="O71" s="14">
        <f t="shared" si="47"/>
        <v>66.55324160273611</v>
      </c>
      <c r="P71" s="14">
        <f t="shared" si="47"/>
        <v>76.4085328675346</v>
      </c>
      <c r="Q71" s="14">
        <f t="shared" si="47"/>
        <v>82.58271244614482</v>
      </c>
      <c r="R71" s="14">
        <f aca="true" t="shared" si="48" ref="R71:AE71">SUM(R69:R70)</f>
        <v>88.70864469736189</v>
      </c>
      <c r="S71" s="14">
        <f t="shared" si="48"/>
        <v>94.49074763363863</v>
      </c>
      <c r="T71" s="14">
        <f t="shared" si="48"/>
        <v>100.24808452776362</v>
      </c>
      <c r="U71" s="14">
        <f t="shared" si="48"/>
        <v>105.8704361057</v>
      </c>
      <c r="V71" s="14">
        <f t="shared" si="48"/>
        <v>111.34637108891953</v>
      </c>
      <c r="W71" s="14">
        <f t="shared" si="48"/>
        <v>116.75900391185895</v>
      </c>
      <c r="X71" s="14">
        <f t="shared" si="48"/>
        <v>122.03682122120908</v>
      </c>
      <c r="Y71" s="14">
        <f t="shared" si="48"/>
        <v>126.82437878596309</v>
      </c>
      <c r="Z71" s="14">
        <f t="shared" si="48"/>
        <v>131.64713225238526</v>
      </c>
      <c r="AA71" s="14">
        <f t="shared" si="48"/>
        <v>136.3212022900003</v>
      </c>
      <c r="AB71" s="14">
        <f t="shared" si="48"/>
        <v>140.71715395084624</v>
      </c>
      <c r="AC71" s="14">
        <f t="shared" si="48"/>
        <v>145.039200483601</v>
      </c>
      <c r="AD71" s="14">
        <f t="shared" si="48"/>
        <v>149.19636545700746</v>
      </c>
      <c r="AE71" s="14">
        <f t="shared" si="48"/>
        <v>153.21796746699556</v>
      </c>
    </row>
    <row r="72" spans="3:31" ht="12.75">
      <c r="C72" s="5" t="s">
        <v>108</v>
      </c>
      <c r="D72" s="5" t="str">
        <f>D71</f>
        <v>Rs. Crores</v>
      </c>
      <c r="E72" s="14">
        <f>'BS'!E10</f>
        <v>15.703155609827416</v>
      </c>
      <c r="F72" s="14">
        <f>'BS'!F10</f>
        <v>47.68905203348891</v>
      </c>
      <c r="G72" s="14">
        <f>'BS'!G10</f>
        <v>58.50883693956468</v>
      </c>
      <c r="H72" s="14">
        <f>'BS'!H10</f>
        <v>52.50793058678881</v>
      </c>
      <c r="I72" s="14">
        <f>'BS'!I10</f>
        <v>46.50702423401294</v>
      </c>
      <c r="J72" s="14">
        <f>'BS'!J10</f>
        <v>40.50611788123707</v>
      </c>
      <c r="K72" s="14">
        <f>'BS'!K10</f>
        <v>34.505211528461196</v>
      </c>
      <c r="L72" s="14">
        <f>'BS'!L10</f>
        <v>28.504305175685325</v>
      </c>
      <c r="M72" s="14">
        <f>'BS'!M10</f>
        <v>22.503398822909453</v>
      </c>
      <c r="N72" s="14">
        <f>'BS'!N10</f>
        <v>16.502492470133582</v>
      </c>
      <c r="O72" s="14">
        <f>'BS'!O10</f>
        <v>10.501586117357718</v>
      </c>
      <c r="P72" s="14">
        <f>'BS'!P10</f>
        <v>4.500679764581854</v>
      </c>
      <c r="Q72" s="14">
        <f>'BS'!Q10</f>
        <v>0</v>
      </c>
      <c r="R72" s="14">
        <f>'BS'!R10</f>
        <v>0</v>
      </c>
      <c r="S72" s="14">
        <f>'BS'!S10</f>
        <v>0</v>
      </c>
      <c r="T72" s="14">
        <f>'BS'!T10</f>
        <v>0</v>
      </c>
      <c r="U72" s="14">
        <f>'BS'!U10</f>
        <v>0</v>
      </c>
      <c r="V72" s="14">
        <f>'BS'!V10</f>
        <v>0</v>
      </c>
      <c r="W72" s="14">
        <f>'BS'!W10</f>
        <v>0</v>
      </c>
      <c r="X72" s="14">
        <f>'BS'!X10</f>
        <v>0</v>
      </c>
      <c r="Y72" s="14">
        <f>'BS'!Y10</f>
        <v>0</v>
      </c>
      <c r="Z72" s="14">
        <f>'BS'!Z10</f>
        <v>0</v>
      </c>
      <c r="AA72" s="14">
        <f>'BS'!AA10</f>
        <v>0</v>
      </c>
      <c r="AB72" s="14">
        <f>'BS'!AB10</f>
        <v>0</v>
      </c>
      <c r="AC72" s="14">
        <f>'BS'!AC10</f>
        <v>0</v>
      </c>
      <c r="AD72" s="14">
        <f>'BS'!AD10</f>
        <v>0</v>
      </c>
      <c r="AE72" s="14">
        <f>'BS'!AE10</f>
        <v>0</v>
      </c>
    </row>
    <row r="73" spans="3:31" ht="12.75">
      <c r="C73" s="5" t="s">
        <v>26</v>
      </c>
      <c r="D73" s="5" t="s">
        <v>27</v>
      </c>
      <c r="E73" s="14">
        <f aca="true" t="shared" si="49" ref="E73:Q73">E72/E71</f>
        <v>5.666666666666663</v>
      </c>
      <c r="F73" s="14">
        <f t="shared" si="49"/>
        <v>5.666666666666667</v>
      </c>
      <c r="G73" s="14">
        <f t="shared" si="49"/>
        <v>3.616036647155795</v>
      </c>
      <c r="H73" s="14">
        <f t="shared" si="49"/>
        <v>2.526382939864779</v>
      </c>
      <c r="I73" s="14">
        <f t="shared" si="49"/>
        <v>1.8317401835685336</v>
      </c>
      <c r="J73" s="14">
        <f t="shared" si="49"/>
        <v>1.2311417977982202</v>
      </c>
      <c r="K73" s="14">
        <f t="shared" si="49"/>
        <v>0.8947610545588537</v>
      </c>
      <c r="L73" s="14">
        <f t="shared" si="49"/>
        <v>0.6409740860276366</v>
      </c>
      <c r="M73" s="14">
        <f t="shared" si="49"/>
        <v>0.4172077696918957</v>
      </c>
      <c r="N73" s="14">
        <f t="shared" si="49"/>
        <v>0.27442600171651926</v>
      </c>
      <c r="O73" s="14">
        <f t="shared" si="49"/>
        <v>0.15779225571074185</v>
      </c>
      <c r="P73" s="14">
        <f t="shared" si="49"/>
        <v>0.05890284233548159</v>
      </c>
      <c r="Q73" s="14">
        <f t="shared" si="49"/>
        <v>0</v>
      </c>
      <c r="R73" s="14">
        <f aca="true" t="shared" si="50" ref="R73:AE73">R72/R71</f>
        <v>0</v>
      </c>
      <c r="S73" s="14">
        <f t="shared" si="50"/>
        <v>0</v>
      </c>
      <c r="T73" s="14">
        <f t="shared" si="50"/>
        <v>0</v>
      </c>
      <c r="U73" s="14">
        <f t="shared" si="50"/>
        <v>0</v>
      </c>
      <c r="V73" s="14">
        <f t="shared" si="50"/>
        <v>0</v>
      </c>
      <c r="W73" s="14">
        <f t="shared" si="50"/>
        <v>0</v>
      </c>
      <c r="X73" s="14">
        <f t="shared" si="50"/>
        <v>0</v>
      </c>
      <c r="Y73" s="14">
        <f t="shared" si="50"/>
        <v>0</v>
      </c>
      <c r="Z73" s="14">
        <f t="shared" si="50"/>
        <v>0</v>
      </c>
      <c r="AA73" s="14">
        <f t="shared" si="50"/>
        <v>0</v>
      </c>
      <c r="AB73" s="14">
        <f t="shared" si="50"/>
        <v>0</v>
      </c>
      <c r="AC73" s="14">
        <f t="shared" si="50"/>
        <v>0</v>
      </c>
      <c r="AD73" s="14">
        <f t="shared" si="50"/>
        <v>0</v>
      </c>
      <c r="AE73" s="14">
        <f t="shared" si="50"/>
        <v>0</v>
      </c>
    </row>
    <row r="74" spans="3:31" ht="12.75">
      <c r="C74" s="5" t="s">
        <v>169</v>
      </c>
      <c r="D74" s="5" t="str">
        <f>D72</f>
        <v>Rs. Crores</v>
      </c>
      <c r="E74" s="14">
        <f>'BS'!E10+'BS'!E11+'BS'!E26</f>
        <v>15.703155609827416</v>
      </c>
      <c r="F74" s="14">
        <f>'BS'!F10+'BS'!F11+'BS'!F26</f>
        <v>47.68905203348891</v>
      </c>
      <c r="G74" s="14">
        <f>'BS'!G10+'BS'!G11+'BS'!G26</f>
        <v>61.710627556397085</v>
      </c>
      <c r="H74" s="14">
        <f>'BS'!H10+'BS'!H11+'BS'!H26</f>
        <v>55.9177734658215</v>
      </c>
      <c r="I74" s="14">
        <f>'BS'!I10+'BS'!I11+'BS'!I26</f>
        <v>50.125536634724654</v>
      </c>
      <c r="J74" s="14">
        <f>'BS'!J10+'BS'!J11+'BS'!J26</f>
        <v>44.34311120845009</v>
      </c>
      <c r="K74" s="14">
        <f>'BS'!K10+'BS'!K11+'BS'!K26</f>
        <v>38.3525607161117</v>
      </c>
      <c r="L74" s="14">
        <f>'BS'!L10+'BS'!L11+'BS'!L26</f>
        <v>32.362383192086234</v>
      </c>
      <c r="M74" s="14">
        <f>'BS'!M10+'BS'!M11+'BS'!M26</f>
        <v>26.389273891522787</v>
      </c>
      <c r="N74" s="14">
        <f>'BS'!N10+'BS'!N11+'BS'!N26</f>
        <v>20.400386228532035</v>
      </c>
      <c r="O74" s="14">
        <f>'BS'!O10+'BS'!O11+'BS'!O26</f>
        <v>14.412436861059058</v>
      </c>
      <c r="P74" s="14">
        <f>'BS'!P10+'BS'!P11+'BS'!P26</f>
        <v>8.441302845077889</v>
      </c>
      <c r="Q74" s="14">
        <f>'BS'!Q10+'BS'!Q11+'BS'!Q26</f>
        <v>3.9504569004664467</v>
      </c>
      <c r="R74" s="14">
        <f>'BS'!R10+'BS'!R11+'BS'!R26</f>
        <v>3.960585735035971</v>
      </c>
      <c r="S74" s="14">
        <f>'BS'!S10+'BS'!S11+'BS'!S26</f>
        <v>3.99093636305925</v>
      </c>
      <c r="T74" s="14">
        <f>'BS'!T10+'BS'!T11+'BS'!T26</f>
        <v>4.003744971954355</v>
      </c>
      <c r="U74" s="14">
        <f>'BS'!U10+'BS'!U11+'BS'!U26</f>
        <v>4.015472448668517</v>
      </c>
      <c r="V74" s="14">
        <f>'BS'!V10+'BS'!V11+'BS'!V26</f>
        <v>4.039988811492653</v>
      </c>
      <c r="W74" s="14">
        <f>'BS'!W10+'BS'!W11+'BS'!W26</f>
        <v>4.052803603392963</v>
      </c>
      <c r="X74" s="14">
        <f>'BS'!X10+'BS'!X11+'BS'!X26</f>
        <v>4.066002839050282</v>
      </c>
      <c r="Y74" s="14">
        <f>'BS'!Y10+'BS'!Y11+'BS'!Y26</f>
        <v>4.117650928846159</v>
      </c>
      <c r="Z74" s="14">
        <f>'BS'!Z10+'BS'!Z11+'BS'!Z26</f>
        <v>4.132795584267075</v>
      </c>
      <c r="AA74" s="14">
        <f>'BS'!AA10+'BS'!AA11+'BS'!AA26</f>
        <v>4.148394579350618</v>
      </c>
      <c r="AB74" s="14">
        <f>'BS'!AB10+'BS'!AB11+'BS'!AB26</f>
        <v>4.179312046501239</v>
      </c>
      <c r="AC74" s="14">
        <f>'BS'!AC10+'BS'!AC11+'BS'!AC26</f>
        <v>4.196306535451806</v>
      </c>
      <c r="AD74" s="14">
        <f>'BS'!AD10+'BS'!AD11+'BS'!AD26</f>
        <v>4.215780221295821</v>
      </c>
      <c r="AE74" s="14">
        <f>'BS'!AE10+'BS'!AE11+'BS'!AE26</f>
        <v>4.233868755490226</v>
      </c>
    </row>
    <row r="75" spans="3:31" ht="12.75">
      <c r="C75" s="5" t="s">
        <v>170</v>
      </c>
      <c r="D75" s="5" t="s">
        <v>27</v>
      </c>
      <c r="E75" s="14">
        <f aca="true" t="shared" si="51" ref="E75:Q75">E74/E71</f>
        <v>5.666666666666663</v>
      </c>
      <c r="F75" s="14">
        <f t="shared" si="51"/>
        <v>5.666666666666667</v>
      </c>
      <c r="G75" s="14">
        <f t="shared" si="51"/>
        <v>3.8139177333743524</v>
      </c>
      <c r="H75" s="14">
        <f t="shared" si="51"/>
        <v>2.690445183052383</v>
      </c>
      <c r="I75" s="14">
        <f t="shared" si="51"/>
        <v>1.9742600432734505</v>
      </c>
      <c r="J75" s="14">
        <f t="shared" si="51"/>
        <v>1.3477632641370858</v>
      </c>
      <c r="K75" s="14">
        <f t="shared" si="51"/>
        <v>0.9945273815543814</v>
      </c>
      <c r="L75" s="14">
        <f t="shared" si="51"/>
        <v>0.7277303853004686</v>
      </c>
      <c r="M75" s="14">
        <f t="shared" si="51"/>
        <v>0.48925098784910315</v>
      </c>
      <c r="N75" s="14">
        <f t="shared" si="51"/>
        <v>0.33924550708329887</v>
      </c>
      <c r="O75" s="14">
        <f t="shared" si="51"/>
        <v>0.21655499437711145</v>
      </c>
      <c r="P75" s="14">
        <f t="shared" si="51"/>
        <v>0.11047591843848285</v>
      </c>
      <c r="Q75" s="14">
        <f t="shared" si="51"/>
        <v>0.047836366516087525</v>
      </c>
      <c r="R75" s="14">
        <f aca="true" t="shared" si="52" ref="R75:AE75">R74/R71</f>
        <v>0.044647122594961196</v>
      </c>
      <c r="S75" s="14">
        <f t="shared" si="52"/>
        <v>0.0422362661213454</v>
      </c>
      <c r="T75" s="14">
        <f t="shared" si="52"/>
        <v>0.03993836880589496</v>
      </c>
      <c r="U75" s="14">
        <f t="shared" si="52"/>
        <v>0.037928175195760125</v>
      </c>
      <c r="V75" s="14">
        <f t="shared" si="52"/>
        <v>0.03628307570317113</v>
      </c>
      <c r="W75" s="14">
        <f t="shared" si="52"/>
        <v>0.03471084428274511</v>
      </c>
      <c r="X75" s="14">
        <f t="shared" si="52"/>
        <v>0.033317836357602874</v>
      </c>
      <c r="Y75" s="14">
        <f t="shared" si="52"/>
        <v>0.032467345539262366</v>
      </c>
      <c r="Z75" s="14">
        <f t="shared" si="52"/>
        <v>0.03139297843832975</v>
      </c>
      <c r="AA75" s="14">
        <f t="shared" si="52"/>
        <v>0.030431029874029503</v>
      </c>
      <c r="AB75" s="14">
        <f t="shared" si="52"/>
        <v>0.029700089357699133</v>
      </c>
      <c r="AC75" s="14">
        <f t="shared" si="52"/>
        <v>0.028932223298667906</v>
      </c>
      <c r="AD75" s="14">
        <f t="shared" si="52"/>
        <v>0.02825658794289224</v>
      </c>
      <c r="AE75" s="14">
        <f t="shared" si="52"/>
        <v>0.02763297820408848</v>
      </c>
    </row>
    <row r="76" spans="3:31" ht="12.75">
      <c r="C76" s="5" t="s">
        <v>173</v>
      </c>
      <c r="D76" s="5" t="str">
        <f>D74</f>
        <v>Rs. Crores</v>
      </c>
      <c r="E76" s="14">
        <f>'CF'!E21</f>
        <v>2.7375991879798143</v>
      </c>
      <c r="F76" s="14">
        <f>'CF'!F21</f>
        <v>9.82167765625805</v>
      </c>
      <c r="G76" s="14">
        <f>'CF'!G21</f>
        <v>22.507379322494078</v>
      </c>
      <c r="H76" s="14">
        <f>'CF'!H21</f>
        <v>23.072370303226794</v>
      </c>
      <c r="I76" s="14">
        <f>'CF'!I21</f>
        <v>24.79142122707252</v>
      </c>
      <c r="J76" s="14">
        <f>'CF'!J21</f>
        <v>27.60128006174641</v>
      </c>
      <c r="K76" s="14">
        <f>'CF'!K21</f>
        <v>30.787795945133258</v>
      </c>
      <c r="L76" s="14">
        <f>'CF'!L21</f>
        <v>34.27987066474106</v>
      </c>
      <c r="M76" s="14">
        <f>'CF'!M21</f>
        <v>37.98636744557727</v>
      </c>
      <c r="N76" s="14">
        <f>'CF'!N21</f>
        <v>41.98088299670075</v>
      </c>
      <c r="O76" s="14">
        <f>'CF'!O21</f>
        <v>46.13222143735691</v>
      </c>
      <c r="P76" s="14">
        <f>'CF'!P21</f>
        <v>49.85793677403776</v>
      </c>
      <c r="Q76" s="14">
        <f>'CF'!Q21</f>
        <v>55.48502951996182</v>
      </c>
      <c r="R76" s="14">
        <f>'CF'!R21</f>
        <v>65.55245528249361</v>
      </c>
      <c r="S76" s="14">
        <f>'CF'!S21</f>
        <v>71.82751787940414</v>
      </c>
      <c r="T76" s="14">
        <f>'CF'!T21</f>
        <v>81.33385800714323</v>
      </c>
      <c r="U76" s="14">
        <f>'CF'!U21</f>
        <v>90.92160424007889</v>
      </c>
      <c r="V76" s="14">
        <f>'CF'!V21</f>
        <v>98.40470025764309</v>
      </c>
      <c r="W76" s="14">
        <f>'CF'!W21</f>
        <v>107.81015950860422</v>
      </c>
      <c r="X76" s="14">
        <f>'CF'!X21</f>
        <v>117.04705038439731</v>
      </c>
      <c r="Y76" s="14">
        <f>'CF'!Y21</f>
        <v>120.29021769069399</v>
      </c>
      <c r="Z76" s="14">
        <f>'CF'!Z21</f>
        <v>129.18203089081092</v>
      </c>
      <c r="AA76" s="14">
        <f>'CF'!AA21</f>
        <v>137.8879319160816</v>
      </c>
      <c r="AB76" s="14">
        <f>'CF'!AB21</f>
        <v>144.3242331959577</v>
      </c>
      <c r="AC76" s="14">
        <f>'CF'!AC21</f>
        <v>152.66992703591518</v>
      </c>
      <c r="AD76" s="14">
        <f>'CF'!AD21</f>
        <v>160.5692030444576</v>
      </c>
      <c r="AE76" s="14">
        <f>'CF'!AE21</f>
        <v>168.54920183523066</v>
      </c>
    </row>
    <row r="77" spans="3:31" ht="12.75">
      <c r="C77" s="5" t="s">
        <v>148</v>
      </c>
      <c r="D77" s="5" t="s">
        <v>27</v>
      </c>
      <c r="E77" s="14">
        <f aca="true" t="shared" si="53" ref="E77:Q77">E37</f>
        <v>0</v>
      </c>
      <c r="F77" s="14">
        <f t="shared" si="53"/>
        <v>0</v>
      </c>
      <c r="G77" s="14">
        <f t="shared" si="53"/>
        <v>3.564883802443959</v>
      </c>
      <c r="H77" s="14">
        <f t="shared" si="53"/>
        <v>1.0529071789464992</v>
      </c>
      <c r="I77" s="14">
        <f t="shared" si="53"/>
        <v>1.1588965149781925</v>
      </c>
      <c r="J77" s="14">
        <f t="shared" si="53"/>
        <v>1.2716464382933912</v>
      </c>
      <c r="K77" s="14">
        <f t="shared" si="53"/>
        <v>1.3203867108800298</v>
      </c>
      <c r="L77" s="14">
        <f t="shared" si="53"/>
        <v>1.3748834372449554</v>
      </c>
      <c r="M77" s="14">
        <f t="shared" si="53"/>
        <v>1.4270362812936788</v>
      </c>
      <c r="N77" s="14">
        <f t="shared" si="53"/>
        <v>1.4959775076301352</v>
      </c>
      <c r="O77" s="14">
        <f t="shared" si="53"/>
        <v>1.5592308071282788</v>
      </c>
      <c r="P77" s="14">
        <f t="shared" si="53"/>
        <v>1.5493842258880082</v>
      </c>
      <c r="Q77" s="14">
        <f t="shared" si="53"/>
        <v>2.203179393806233</v>
      </c>
      <c r="R77" s="14">
        <f aca="true" t="shared" si="54" ref="R77:AE77">R37</f>
        <v>0</v>
      </c>
      <c r="S77" s="14">
        <f t="shared" si="54"/>
        <v>0</v>
      </c>
      <c r="T77" s="14">
        <f t="shared" si="54"/>
        <v>0</v>
      </c>
      <c r="U77" s="14">
        <f t="shared" si="54"/>
        <v>0</v>
      </c>
      <c r="V77" s="14">
        <f t="shared" si="54"/>
        <v>0</v>
      </c>
      <c r="W77" s="14">
        <f t="shared" si="54"/>
        <v>0</v>
      </c>
      <c r="X77" s="14">
        <f t="shared" si="54"/>
        <v>0</v>
      </c>
      <c r="Y77" s="14">
        <f t="shared" si="54"/>
        <v>0</v>
      </c>
      <c r="Z77" s="14">
        <f t="shared" si="54"/>
        <v>0</v>
      </c>
      <c r="AA77" s="14">
        <f t="shared" si="54"/>
        <v>0</v>
      </c>
      <c r="AB77" s="14">
        <f t="shared" si="54"/>
        <v>0</v>
      </c>
      <c r="AC77" s="14">
        <f t="shared" si="54"/>
        <v>0</v>
      </c>
      <c r="AD77" s="14">
        <f t="shared" si="54"/>
        <v>0</v>
      </c>
      <c r="AE77" s="14">
        <f t="shared" si="54"/>
        <v>0</v>
      </c>
    </row>
    <row r="78" spans="3:31" ht="12.75">
      <c r="C78" s="5" t="s">
        <v>171</v>
      </c>
      <c r="D78" s="5" t="s">
        <v>27</v>
      </c>
      <c r="E78" s="14"/>
      <c r="F78" s="5"/>
      <c r="G78" s="14">
        <f>MIN(G77:N77)</f>
        <v>1.0529071789464992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3:31" ht="12.75">
      <c r="C79" s="5" t="s">
        <v>172</v>
      </c>
      <c r="D79" s="5" t="s">
        <v>27</v>
      </c>
      <c r="E79" s="14"/>
      <c r="F79" s="5"/>
      <c r="G79" s="14">
        <f>MAX(G77:P77)</f>
        <v>3.564883802443959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3:31" ht="12.75">
      <c r="C80" s="5" t="s">
        <v>150</v>
      </c>
      <c r="D80" s="5" t="s">
        <v>27</v>
      </c>
      <c r="E80" s="14"/>
      <c r="F80" s="5"/>
      <c r="G80" s="14">
        <f>G38</f>
        <v>1.4483111908408688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3:31" ht="12.75">
      <c r="C81" s="5" t="s">
        <v>144</v>
      </c>
      <c r="D81" s="5" t="str">
        <f>D76</f>
        <v>Rs. Crores</v>
      </c>
      <c r="E81" s="14"/>
      <c r="F81" s="5"/>
      <c r="G81" s="14">
        <f>E20</f>
        <v>25.94840416282818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3:31" ht="12.75">
      <c r="C82" s="5" t="s">
        <v>145</v>
      </c>
      <c r="D82" s="5" t="s">
        <v>10</v>
      </c>
      <c r="E82" s="12"/>
      <c r="F82" s="5"/>
      <c r="G82" s="27">
        <f>E21</f>
        <v>0.1459934765577604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3:31" ht="12.75">
      <c r="C83" s="5" t="s">
        <v>39</v>
      </c>
      <c r="D83" s="5" t="s">
        <v>10</v>
      </c>
      <c r="E83" s="12"/>
      <c r="F83" s="5"/>
      <c r="G83" s="27">
        <f>E22</f>
        <v>0.09141854399040988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0">
      <selection activeCell="F14" sqref="F14"/>
    </sheetView>
  </sheetViews>
  <sheetFormatPr defaultColWidth="9.140625" defaultRowHeight="12.75"/>
  <cols>
    <col min="3" max="3" width="37.8515625" style="0" customWidth="1"/>
    <col min="4" max="4" width="13.7109375" style="0" bestFit="1" customWidth="1"/>
    <col min="5" max="5" width="22.140625" style="0" customWidth="1"/>
    <col min="6" max="6" width="16.140625" style="0" customWidth="1"/>
    <col min="7" max="7" width="17.421875" style="0" bestFit="1" customWidth="1"/>
    <col min="10" max="10" width="25.8515625" style="0" customWidth="1"/>
  </cols>
  <sheetData>
    <row r="1" spans="10:11" ht="15">
      <c r="J1" s="104"/>
      <c r="K1" s="105"/>
    </row>
    <row r="2" spans="3:11" ht="15">
      <c r="C2" s="1" t="s">
        <v>203</v>
      </c>
      <c r="J2" s="104"/>
      <c r="K2" s="105"/>
    </row>
    <row r="3" spans="10:11" ht="15">
      <c r="J3" s="104"/>
      <c r="K3" s="105"/>
    </row>
    <row r="4" spans="3:11" ht="15">
      <c r="C4" s="59" t="s">
        <v>1</v>
      </c>
      <c r="D4" s="59" t="s">
        <v>2</v>
      </c>
      <c r="E4" s="59" t="s">
        <v>200</v>
      </c>
      <c r="F4" s="59" t="s">
        <v>201</v>
      </c>
      <c r="G4" s="59" t="s">
        <v>202</v>
      </c>
      <c r="J4" s="104"/>
      <c r="K4" s="105"/>
    </row>
    <row r="5" spans="3:11" ht="15">
      <c r="C5" s="5" t="s">
        <v>203</v>
      </c>
      <c r="D5" s="5" t="s">
        <v>275</v>
      </c>
      <c r="E5" s="7">
        <f>25*4047</f>
        <v>101175</v>
      </c>
      <c r="F5" s="7">
        <v>0</v>
      </c>
      <c r="G5" s="14">
        <f>F5*E5/cr</f>
        <v>0</v>
      </c>
      <c r="J5" s="104" t="s">
        <v>365</v>
      </c>
      <c r="K5" s="105"/>
    </row>
    <row r="6" spans="3:11" ht="15">
      <c r="C6" s="5" t="s">
        <v>276</v>
      </c>
      <c r="D6" s="5" t="s">
        <v>275</v>
      </c>
      <c r="E6" s="7">
        <f>85%*E5</f>
        <v>85998.75</v>
      </c>
      <c r="F6" s="7">
        <v>250</v>
      </c>
      <c r="G6" s="14">
        <f>F6*E6/cr</f>
        <v>2.14996875</v>
      </c>
      <c r="J6" s="104"/>
      <c r="K6" s="105"/>
    </row>
    <row r="7" spans="3:11" ht="15">
      <c r="C7" s="5" t="s">
        <v>283</v>
      </c>
      <c r="D7" s="5" t="s">
        <v>284</v>
      </c>
      <c r="E7" s="106">
        <f>SQRT(E5)*4</f>
        <v>1272.3207142855138</v>
      </c>
      <c r="F7" s="7">
        <v>4000</v>
      </c>
      <c r="G7" s="14">
        <f>F7*E7/cr</f>
        <v>0.5089282857142056</v>
      </c>
      <c r="J7" s="104"/>
      <c r="K7" s="105"/>
    </row>
    <row r="8" spans="3:11" ht="15">
      <c r="C8" s="20" t="s">
        <v>204</v>
      </c>
      <c r="D8" s="20"/>
      <c r="E8" s="20"/>
      <c r="F8" s="20"/>
      <c r="G8" s="28">
        <f>SUM(G5:G7)</f>
        <v>2.658897035714206</v>
      </c>
      <c r="J8" s="104"/>
      <c r="K8" s="105"/>
    </row>
    <row r="9" spans="10:11" ht="15">
      <c r="J9" s="104"/>
      <c r="K9" s="105"/>
    </row>
    <row r="10" spans="3:11" ht="15">
      <c r="C10" s="1" t="s">
        <v>205</v>
      </c>
      <c r="G10" s="4"/>
      <c r="J10" s="104"/>
      <c r="K10" s="105"/>
    </row>
    <row r="11" ht="12.75">
      <c r="G11" s="53"/>
    </row>
    <row r="12" spans="3:7" ht="12.75">
      <c r="C12" s="59" t="s">
        <v>1</v>
      </c>
      <c r="D12" s="59" t="s">
        <v>2</v>
      </c>
      <c r="E12" s="59" t="s">
        <v>200</v>
      </c>
      <c r="F12" s="59" t="s">
        <v>324</v>
      </c>
      <c r="G12" s="59" t="s">
        <v>24</v>
      </c>
    </row>
    <row r="13" spans="3:7" ht="12.75">
      <c r="C13" s="20" t="s">
        <v>323</v>
      </c>
      <c r="D13" s="5"/>
      <c r="E13" s="7"/>
      <c r="F13" s="7"/>
      <c r="G13" s="14"/>
    </row>
    <row r="14" spans="3:7" ht="12.75">
      <c r="C14" s="5" t="s">
        <v>310</v>
      </c>
      <c r="D14" s="5" t="s">
        <v>326</v>
      </c>
      <c r="E14" s="7">
        <f>Input!E5</f>
        <v>10</v>
      </c>
      <c r="F14" s="7">
        <v>3100000</v>
      </c>
      <c r="G14" s="14">
        <f aca="true" t="shared" si="0" ref="G14:G25">F14*E14/cr</f>
        <v>3.1</v>
      </c>
    </row>
    <row r="15" spans="3:7" ht="12.75">
      <c r="C15" s="5" t="s">
        <v>311</v>
      </c>
      <c r="D15" s="5" t="s">
        <v>326</v>
      </c>
      <c r="E15" s="7">
        <f>E14</f>
        <v>10</v>
      </c>
      <c r="F15" s="7">
        <v>1500000</v>
      </c>
      <c r="G15" s="14">
        <f t="shared" si="0"/>
        <v>1.5</v>
      </c>
    </row>
    <row r="16" spans="3:7" ht="12.75">
      <c r="C16" s="5" t="s">
        <v>312</v>
      </c>
      <c r="D16" s="5" t="s">
        <v>326</v>
      </c>
      <c r="E16" s="7">
        <f aca="true" t="shared" si="1" ref="E16:E25">E15</f>
        <v>10</v>
      </c>
      <c r="F16" s="7">
        <v>1200000</v>
      </c>
      <c r="G16" s="14">
        <f t="shared" si="0"/>
        <v>1.2</v>
      </c>
    </row>
    <row r="17" spans="3:7" ht="12.75">
      <c r="C17" s="5" t="s">
        <v>313</v>
      </c>
      <c r="D17" s="5" t="s">
        <v>325</v>
      </c>
      <c r="E17" s="7">
        <f t="shared" si="1"/>
        <v>10</v>
      </c>
      <c r="F17" s="7">
        <v>12500</v>
      </c>
      <c r="G17" s="14">
        <f t="shared" si="0"/>
        <v>0.0125</v>
      </c>
    </row>
    <row r="18" spans="3:7" ht="12.75">
      <c r="C18" s="5" t="s">
        <v>314</v>
      </c>
      <c r="D18" s="5" t="s">
        <v>326</v>
      </c>
      <c r="E18" s="7">
        <f t="shared" si="1"/>
        <v>10</v>
      </c>
      <c r="F18" s="7">
        <v>1500000</v>
      </c>
      <c r="G18" s="14">
        <f t="shared" si="0"/>
        <v>1.5</v>
      </c>
    </row>
    <row r="19" spans="3:7" ht="12.75">
      <c r="C19" s="5" t="s">
        <v>315</v>
      </c>
      <c r="D19" s="5" t="s">
        <v>326</v>
      </c>
      <c r="E19" s="7">
        <f t="shared" si="1"/>
        <v>10</v>
      </c>
      <c r="F19" s="7">
        <v>900000</v>
      </c>
      <c r="G19" s="14">
        <f t="shared" si="0"/>
        <v>0.9</v>
      </c>
    </row>
    <row r="20" spans="3:7" ht="12.75">
      <c r="C20" s="5" t="s">
        <v>316</v>
      </c>
      <c r="D20" s="5" t="s">
        <v>326</v>
      </c>
      <c r="E20" s="7">
        <f t="shared" si="1"/>
        <v>10</v>
      </c>
      <c r="F20" s="7">
        <v>100000</v>
      </c>
      <c r="G20" s="14">
        <f t="shared" si="0"/>
        <v>0.1</v>
      </c>
    </row>
    <row r="21" spans="3:7" ht="12.75">
      <c r="C21" s="5" t="s">
        <v>317</v>
      </c>
      <c r="D21" s="5" t="s">
        <v>326</v>
      </c>
      <c r="E21" s="7">
        <f t="shared" si="1"/>
        <v>10</v>
      </c>
      <c r="F21" s="7">
        <v>100000</v>
      </c>
      <c r="G21" s="14">
        <f t="shared" si="0"/>
        <v>0.1</v>
      </c>
    </row>
    <row r="22" spans="3:7" ht="12.75">
      <c r="C22" s="5" t="s">
        <v>318</v>
      </c>
      <c r="D22" s="5" t="s">
        <v>326</v>
      </c>
      <c r="E22" s="7">
        <f t="shared" si="1"/>
        <v>10</v>
      </c>
      <c r="F22" s="7">
        <v>300000</v>
      </c>
      <c r="G22" s="14">
        <f t="shared" si="0"/>
        <v>0.3</v>
      </c>
    </row>
    <row r="23" spans="3:7" ht="12.75">
      <c r="C23" s="5" t="s">
        <v>319</v>
      </c>
      <c r="D23" s="5" t="s">
        <v>326</v>
      </c>
      <c r="E23" s="7">
        <f t="shared" si="1"/>
        <v>10</v>
      </c>
      <c r="F23" s="7">
        <v>250000</v>
      </c>
      <c r="G23" s="14">
        <f t="shared" si="0"/>
        <v>0.25</v>
      </c>
    </row>
    <row r="24" spans="3:7" ht="12.75">
      <c r="C24" s="5" t="s">
        <v>320</v>
      </c>
      <c r="D24" s="5" t="s">
        <v>326</v>
      </c>
      <c r="E24" s="7">
        <f t="shared" si="1"/>
        <v>10</v>
      </c>
      <c r="F24" s="7">
        <v>100000</v>
      </c>
      <c r="G24" s="14">
        <f t="shared" si="0"/>
        <v>0.1</v>
      </c>
    </row>
    <row r="25" spans="3:7" ht="12.75">
      <c r="C25" s="5" t="s">
        <v>321</v>
      </c>
      <c r="D25" s="5" t="s">
        <v>325</v>
      </c>
      <c r="E25" s="7">
        <f t="shared" si="1"/>
        <v>10</v>
      </c>
      <c r="F25" s="7">
        <v>4000</v>
      </c>
      <c r="G25" s="14">
        <f t="shared" si="0"/>
        <v>0.004</v>
      </c>
    </row>
    <row r="26" spans="3:7" s="1" customFormat="1" ht="12.75">
      <c r="C26" s="20" t="s">
        <v>293</v>
      </c>
      <c r="D26" s="20" t="s">
        <v>211</v>
      </c>
      <c r="E26" s="89"/>
      <c r="F26" s="89"/>
      <c r="G26" s="28">
        <f>K4*25%</f>
        <v>0</v>
      </c>
    </row>
    <row r="27" spans="3:7" ht="12.75">
      <c r="C27" s="5" t="s">
        <v>322</v>
      </c>
      <c r="D27" s="6">
        <v>0.18</v>
      </c>
      <c r="E27" s="7"/>
      <c r="F27" s="7"/>
      <c r="G27" s="14">
        <f>D27*SUM(G14:G26)</f>
        <v>1.63197</v>
      </c>
    </row>
    <row r="28" spans="3:9" ht="12.75">
      <c r="C28" s="16" t="s">
        <v>206</v>
      </c>
      <c r="D28" s="20" t="s">
        <v>22</v>
      </c>
      <c r="E28" s="20"/>
      <c r="F28" s="28"/>
      <c r="G28" s="28">
        <f>SUM(G14:G27)</f>
        <v>10.69847</v>
      </c>
      <c r="I28" s="52"/>
    </row>
    <row r="30" spans="3:7" ht="12.75">
      <c r="C30" s="1" t="s">
        <v>207</v>
      </c>
      <c r="G30" s="4"/>
    </row>
    <row r="31" ht="12.75">
      <c r="G31" s="4"/>
    </row>
    <row r="32" spans="3:8" ht="12.75">
      <c r="C32" s="59" t="s">
        <v>1</v>
      </c>
      <c r="D32" s="59" t="s">
        <v>2</v>
      </c>
      <c r="E32" s="59" t="s">
        <v>327</v>
      </c>
      <c r="F32" s="59" t="s">
        <v>200</v>
      </c>
      <c r="G32" s="59" t="s">
        <v>201</v>
      </c>
      <c r="H32" s="59" t="s">
        <v>294</v>
      </c>
    </row>
    <row r="33" spans="3:9" ht="12.75">
      <c r="C33" s="91" t="s">
        <v>277</v>
      </c>
      <c r="D33" s="46"/>
      <c r="E33" s="46"/>
      <c r="F33" s="45"/>
      <c r="G33" s="51"/>
      <c r="H33" s="50"/>
      <c r="I33">
        <v>1980</v>
      </c>
    </row>
    <row r="34" spans="3:11" ht="76.5">
      <c r="C34" s="45" t="s">
        <v>366</v>
      </c>
      <c r="D34" s="46"/>
      <c r="E34" s="46"/>
      <c r="F34" s="90"/>
      <c r="G34" s="51">
        <v>2950</v>
      </c>
      <c r="H34" s="50">
        <f>G34/100</f>
        <v>29.5</v>
      </c>
      <c r="J34" s="102"/>
      <c r="K34" s="103"/>
    </row>
    <row r="35" spans="3:8" s="1" customFormat="1" ht="25.5">
      <c r="C35" s="87" t="s">
        <v>309</v>
      </c>
      <c r="D35" s="92" t="s">
        <v>211</v>
      </c>
      <c r="E35" s="88" t="s">
        <v>328</v>
      </c>
      <c r="F35" s="93">
        <v>0</v>
      </c>
      <c r="G35" s="94"/>
      <c r="H35" s="95">
        <f>K3</f>
        <v>0</v>
      </c>
    </row>
    <row r="36" spans="3:8" s="1" customFormat="1" ht="12.75">
      <c r="C36" s="87" t="s">
        <v>279</v>
      </c>
      <c r="D36" s="88" t="str">
        <f>D35</f>
        <v>Lumpsum</v>
      </c>
      <c r="E36" s="88"/>
      <c r="F36" s="87"/>
      <c r="G36" s="94"/>
      <c r="H36" s="95">
        <v>1.5</v>
      </c>
    </row>
    <row r="37" spans="3:8" s="1" customFormat="1" ht="12.75">
      <c r="C37" s="87" t="s">
        <v>332</v>
      </c>
      <c r="D37" s="107">
        <v>0.18</v>
      </c>
      <c r="E37" s="88"/>
      <c r="F37" s="87"/>
      <c r="G37" s="94"/>
      <c r="H37" s="95">
        <f>D37*(H36+H35+H34)</f>
        <v>5.58</v>
      </c>
    </row>
    <row r="38" spans="3:8" ht="12.75">
      <c r="C38" s="5" t="s">
        <v>329</v>
      </c>
      <c r="D38" s="12">
        <v>0.025</v>
      </c>
      <c r="E38" s="48"/>
      <c r="F38" s="47"/>
      <c r="G38" s="49"/>
      <c r="H38" s="50">
        <f>D38*SUM(H34:H36)</f>
        <v>0.775</v>
      </c>
    </row>
    <row r="39" spans="3:8" ht="12.75">
      <c r="C39" s="5" t="s">
        <v>330</v>
      </c>
      <c r="D39" s="12">
        <v>0.015</v>
      </c>
      <c r="E39" s="48"/>
      <c r="F39" s="47"/>
      <c r="G39" s="49"/>
      <c r="H39" s="50">
        <f>D39*SUM(H34:H38)</f>
        <v>0.560325</v>
      </c>
    </row>
    <row r="40" spans="3:8" ht="12.75">
      <c r="C40" s="20" t="s">
        <v>208</v>
      </c>
      <c r="D40" s="20" t="s">
        <v>22</v>
      </c>
      <c r="E40" s="20"/>
      <c r="F40" s="20"/>
      <c r="G40" s="21"/>
      <c r="H40" s="28">
        <f>SUM(H33:H39)</f>
        <v>37.915324999999996</v>
      </c>
    </row>
    <row r="42" spans="3:7" ht="12.75">
      <c r="C42" s="1" t="s">
        <v>45</v>
      </c>
      <c r="G42" s="4"/>
    </row>
    <row r="43" ht="12.75">
      <c r="G43" s="4"/>
    </row>
    <row r="44" spans="3:7" ht="12.75">
      <c r="C44" s="59" t="s">
        <v>1</v>
      </c>
      <c r="D44" s="59" t="s">
        <v>2</v>
      </c>
      <c r="E44" s="59" t="s">
        <v>200</v>
      </c>
      <c r="F44" s="59" t="s">
        <v>201</v>
      </c>
      <c r="G44" s="59" t="s">
        <v>294</v>
      </c>
    </row>
    <row r="45" spans="3:7" ht="12.75">
      <c r="C45" s="5" t="s">
        <v>209</v>
      </c>
      <c r="D45" s="48" t="str">
        <f>D36</f>
        <v>Lumpsum</v>
      </c>
      <c r="E45" s="27">
        <v>0.015</v>
      </c>
      <c r="F45" s="14"/>
      <c r="G45" s="14">
        <f>E45*H40</f>
        <v>0.5687298749999999</v>
      </c>
    </row>
    <row r="46" spans="3:7" ht="12.75">
      <c r="C46" s="5" t="s">
        <v>210</v>
      </c>
      <c r="D46" s="48" t="str">
        <f>D45</f>
        <v>Lumpsum</v>
      </c>
      <c r="E46" s="13"/>
      <c r="F46" s="14"/>
      <c r="G46" s="14">
        <v>0.15</v>
      </c>
    </row>
    <row r="47" spans="3:7" ht="12.75">
      <c r="C47" s="5" t="s">
        <v>212</v>
      </c>
      <c r="D47" s="48" t="str">
        <f>D46</f>
        <v>Lumpsum</v>
      </c>
      <c r="E47" s="13"/>
      <c r="F47" s="14"/>
      <c r="G47" s="14">
        <v>0.25</v>
      </c>
    </row>
    <row r="48" spans="3:7" ht="12.75">
      <c r="C48" s="5" t="s">
        <v>278</v>
      </c>
      <c r="D48" s="48" t="str">
        <f>D47</f>
        <v>Lumpsum</v>
      </c>
      <c r="E48" s="13"/>
      <c r="F48" s="14"/>
      <c r="G48" s="14">
        <v>1</v>
      </c>
    </row>
    <row r="49" spans="3:7" s="1" customFormat="1" ht="12.75">
      <c r="C49" s="20" t="s">
        <v>213</v>
      </c>
      <c r="D49" s="20" t="str">
        <f>D47</f>
        <v>Lumpsum</v>
      </c>
      <c r="E49" s="20"/>
      <c r="F49" s="21">
        <v>0</v>
      </c>
      <c r="G49" s="28">
        <f>SUM(G45:G48)</f>
        <v>1.968729875</v>
      </c>
    </row>
    <row r="51" spans="3:7" ht="12.75">
      <c r="C51" s="1" t="s">
        <v>52</v>
      </c>
      <c r="G51" s="4"/>
    </row>
    <row r="52" ht="12.75">
      <c r="G52" s="4"/>
    </row>
    <row r="53" spans="3:7" ht="12.75">
      <c r="C53" s="59" t="s">
        <v>1</v>
      </c>
      <c r="D53" s="59" t="s">
        <v>2</v>
      </c>
      <c r="E53" s="59" t="s">
        <v>200</v>
      </c>
      <c r="F53" s="59" t="s">
        <v>201</v>
      </c>
      <c r="G53" s="59" t="s">
        <v>294</v>
      </c>
    </row>
    <row r="54" spans="3:7" ht="12.75">
      <c r="C54" s="5" t="s">
        <v>215</v>
      </c>
      <c r="D54" s="12">
        <v>0.015</v>
      </c>
      <c r="E54" s="5"/>
      <c r="F54" s="5"/>
      <c r="G54" s="32">
        <f>D54*(G49+H40+G28)</f>
        <v>0.758737873125</v>
      </c>
    </row>
    <row r="55" spans="3:9" ht="12.75">
      <c r="C55" s="108" t="s">
        <v>218</v>
      </c>
      <c r="D55" s="109">
        <v>0.005</v>
      </c>
      <c r="E55" s="108"/>
      <c r="F55" s="108"/>
      <c r="G55" s="110">
        <f>D55*Capex!AF19</f>
        <v>0.2925441846978234</v>
      </c>
      <c r="I55" s="4"/>
    </row>
    <row r="56" spans="3:7" ht="12.75">
      <c r="C56" s="5" t="s">
        <v>280</v>
      </c>
      <c r="D56" s="12"/>
      <c r="E56" s="5"/>
      <c r="F56" s="5"/>
      <c r="G56" s="32">
        <v>2.5</v>
      </c>
    </row>
    <row r="57" spans="3:7" ht="12.75">
      <c r="C57" s="5" t="s">
        <v>286</v>
      </c>
      <c r="D57" s="12"/>
      <c r="E57" s="5"/>
      <c r="F57" s="5"/>
      <c r="G57" s="32">
        <f>G54</f>
        <v>0.758737873125</v>
      </c>
    </row>
    <row r="58" spans="3:7" ht="12.75">
      <c r="C58" s="5" t="s">
        <v>285</v>
      </c>
      <c r="D58" s="12">
        <v>0.02</v>
      </c>
      <c r="E58" s="5"/>
      <c r="F58" s="5"/>
      <c r="G58" s="32">
        <f>D58*(G49+H40+G28)</f>
        <v>1.0116504975</v>
      </c>
    </row>
    <row r="59" spans="3:7" ht="12.75">
      <c r="C59" s="5" t="s">
        <v>214</v>
      </c>
      <c r="D59" s="5" t="s">
        <v>211</v>
      </c>
      <c r="E59" s="5"/>
      <c r="F59" s="5"/>
      <c r="G59" s="32">
        <v>0.25</v>
      </c>
    </row>
    <row r="60" spans="3:7" s="1" customFormat="1" ht="12.75">
      <c r="C60" s="20" t="s">
        <v>216</v>
      </c>
      <c r="D60" s="20"/>
      <c r="E60" s="20"/>
      <c r="F60" s="20"/>
      <c r="G60" s="28">
        <f>SUM(G54:G59)</f>
        <v>5.571670428447823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3:N14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32.8515625" style="0" bestFit="1" customWidth="1"/>
    <col min="4" max="4" width="11.8515625" style="127" bestFit="1" customWidth="1"/>
    <col min="5" max="5" width="11.57421875" style="127" customWidth="1"/>
    <col min="6" max="6" width="9.7109375" style="127" customWidth="1"/>
    <col min="7" max="7" width="12.57421875" style="127" bestFit="1" customWidth="1"/>
    <col min="8" max="8" width="10.57421875" style="127" bestFit="1" customWidth="1"/>
    <col min="9" max="9" width="10.7109375" style="127" bestFit="1" customWidth="1"/>
  </cols>
  <sheetData>
    <row r="3" ht="12.75">
      <c r="C3" s="1" t="s">
        <v>58</v>
      </c>
    </row>
    <row r="5" spans="3:9" ht="12.75">
      <c r="C5" s="143" t="s">
        <v>1</v>
      </c>
      <c r="D5" s="128" t="s">
        <v>54</v>
      </c>
      <c r="E5" s="128" t="s">
        <v>144</v>
      </c>
      <c r="F5" s="128" t="s">
        <v>145</v>
      </c>
      <c r="G5" s="128" t="s">
        <v>174</v>
      </c>
      <c r="H5" s="128" t="s">
        <v>219</v>
      </c>
      <c r="I5" s="128" t="s">
        <v>175</v>
      </c>
    </row>
    <row r="6" spans="3:9" ht="12.75">
      <c r="C6" s="143"/>
      <c r="D6" s="128" t="s">
        <v>22</v>
      </c>
      <c r="E6" s="128" t="s">
        <v>22</v>
      </c>
      <c r="F6" s="128" t="s">
        <v>10</v>
      </c>
      <c r="G6" s="128" t="s">
        <v>10</v>
      </c>
      <c r="H6" s="128" t="s">
        <v>27</v>
      </c>
      <c r="I6" s="128" t="s">
        <v>27</v>
      </c>
    </row>
    <row r="7" spans="3:14" ht="12.75">
      <c r="C7" s="5" t="s">
        <v>176</v>
      </c>
      <c r="D7" s="129">
        <f>Capex!AF13</f>
        <v>68.83392581125256</v>
      </c>
      <c r="E7" s="129">
        <f>Ratios!G81</f>
        <v>25.94840416282818</v>
      </c>
      <c r="F7" s="130">
        <f>Ratios!G82</f>
        <v>0.1459934765577604</v>
      </c>
      <c r="G7" s="130">
        <f>Ratios!G83</f>
        <v>0.09141854399040988</v>
      </c>
      <c r="H7" s="131">
        <f>Ratios!G78</f>
        <v>1.0529071789464992</v>
      </c>
      <c r="I7" s="132">
        <f>Ratios!G80</f>
        <v>1.4483111908408688</v>
      </c>
      <c r="M7" s="22"/>
      <c r="N7" s="22"/>
    </row>
    <row r="8" spans="3:10" ht="12.75">
      <c r="C8" s="5" t="s">
        <v>290</v>
      </c>
      <c r="D8" s="129">
        <v>68.47413211086143</v>
      </c>
      <c r="E8" s="129">
        <v>26.286904176688253</v>
      </c>
      <c r="F8" s="130">
        <v>0.1766307914067442</v>
      </c>
      <c r="G8" s="130">
        <v>0.106464484375</v>
      </c>
      <c r="H8" s="131">
        <v>1.2813731511540896</v>
      </c>
      <c r="I8" s="132">
        <v>1.6662757097279077</v>
      </c>
      <c r="J8" s="97">
        <v>0</v>
      </c>
    </row>
    <row r="9" spans="3:10" ht="12.75">
      <c r="C9" s="5" t="s">
        <v>292</v>
      </c>
      <c r="D9" s="129">
        <v>68.49000270958238</v>
      </c>
      <c r="E9" s="129">
        <v>22.206024968574134</v>
      </c>
      <c r="F9" s="130">
        <v>0.16668983969461215</v>
      </c>
      <c r="G9" s="130">
        <v>0.106464484375</v>
      </c>
      <c r="H9" s="131">
        <v>1.2169148094371534</v>
      </c>
      <c r="I9" s="132">
        <v>1.5894485657400184</v>
      </c>
      <c r="J9" s="97">
        <v>0</v>
      </c>
    </row>
    <row r="10" spans="3:10" ht="12.75">
      <c r="C10" s="5" t="s">
        <v>59</v>
      </c>
      <c r="D10" s="132">
        <v>68.52556545012047</v>
      </c>
      <c r="E10" s="132">
        <v>30.082470511373263</v>
      </c>
      <c r="F10" s="130">
        <v>0.18554701009775165</v>
      </c>
      <c r="G10" s="130">
        <v>0.106464484375</v>
      </c>
      <c r="H10" s="131">
        <v>1.3405283886654005</v>
      </c>
      <c r="I10" s="132">
        <v>1.7346644260592032</v>
      </c>
      <c r="J10" s="97">
        <v>0</v>
      </c>
    </row>
    <row r="11" spans="3:10" ht="12.75" hidden="1">
      <c r="C11" s="5" t="s">
        <v>291</v>
      </c>
      <c r="D11" s="132"/>
      <c r="E11" s="132"/>
      <c r="F11" s="130"/>
      <c r="G11" s="130"/>
      <c r="H11" s="131"/>
      <c r="I11" s="132"/>
      <c r="J11" s="97">
        <v>0</v>
      </c>
    </row>
    <row r="12" spans="3:10" ht="12.75">
      <c r="C12" s="5" t="s">
        <v>60</v>
      </c>
      <c r="D12" s="132">
        <v>74.09462515636012</v>
      </c>
      <c r="E12" s="132">
        <v>25.761760368208535</v>
      </c>
      <c r="F12" s="130">
        <v>0.1707283810396354</v>
      </c>
      <c r="G12" s="130">
        <v>0.106464484375</v>
      </c>
      <c r="H12" s="131">
        <v>1.245604356957413</v>
      </c>
      <c r="I12" s="132">
        <v>1.622006772766344</v>
      </c>
      <c r="J12" s="97">
        <v>0</v>
      </c>
    </row>
    <row r="13" spans="3:10" ht="12.75">
      <c r="C13" s="5" t="s">
        <v>61</v>
      </c>
      <c r="D13" s="132">
        <v>69.04269932645397</v>
      </c>
      <c r="E13" s="132">
        <v>27.540574110691818</v>
      </c>
      <c r="F13" s="130">
        <v>0.18473155488549242</v>
      </c>
      <c r="G13" s="130">
        <v>0.110704921875</v>
      </c>
      <c r="H13" s="131">
        <v>1.2919458229134104</v>
      </c>
      <c r="I13" s="132">
        <v>1.689070534339711</v>
      </c>
      <c r="J13" s="97">
        <v>0</v>
      </c>
    </row>
    <row r="14" spans="3:9" ht="12.75">
      <c r="C14" s="5" t="s">
        <v>333</v>
      </c>
      <c r="D14" s="132">
        <v>69.56549318939501</v>
      </c>
      <c r="E14" s="132">
        <v>24.554331618947838</v>
      </c>
      <c r="F14" s="130">
        <v>0.18257624221882574</v>
      </c>
      <c r="G14" s="130">
        <v>0.114945359375</v>
      </c>
      <c r="H14" s="131">
        <v>1.2383147628427331</v>
      </c>
      <c r="I14" s="132">
        <v>1.6354067926920532</v>
      </c>
    </row>
  </sheetData>
  <sheetProtection/>
  <mergeCells count="1">
    <mergeCell ref="C5:C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2:M13"/>
  <sheetViews>
    <sheetView zoomScalePageLayoutView="0" workbookViewId="0" topLeftCell="A1">
      <selection activeCell="C2" sqref="C2:M13"/>
    </sheetView>
  </sheetViews>
  <sheetFormatPr defaultColWidth="9.140625" defaultRowHeight="12.75"/>
  <cols>
    <col min="3" max="3" width="34.140625" style="0" bestFit="1" customWidth="1"/>
    <col min="4" max="13" width="5.7109375" style="0" customWidth="1"/>
  </cols>
  <sheetData>
    <row r="2" spans="3:13" ht="12.75">
      <c r="C2" s="144" t="s">
        <v>1</v>
      </c>
      <c r="D2" s="145" t="s">
        <v>362</v>
      </c>
      <c r="E2" s="146"/>
      <c r="F2" s="146"/>
      <c r="G2" s="147"/>
      <c r="H2" s="145" t="s">
        <v>363</v>
      </c>
      <c r="I2" s="146"/>
      <c r="J2" s="146"/>
      <c r="K2" s="147"/>
      <c r="L2" s="145" t="s">
        <v>364</v>
      </c>
      <c r="M2" s="147"/>
    </row>
    <row r="3" spans="3:13" ht="12.75">
      <c r="C3" s="144"/>
      <c r="D3" s="134" t="s">
        <v>296</v>
      </c>
      <c r="E3" s="134" t="s">
        <v>297</v>
      </c>
      <c r="F3" s="134" t="s">
        <v>298</v>
      </c>
      <c r="G3" s="134" t="s">
        <v>295</v>
      </c>
      <c r="H3" s="134" t="s">
        <v>296</v>
      </c>
      <c r="I3" s="134" t="s">
        <v>297</v>
      </c>
      <c r="J3" s="134" t="s">
        <v>298</v>
      </c>
      <c r="K3" s="134" t="s">
        <v>295</v>
      </c>
      <c r="L3" s="134" t="s">
        <v>296</v>
      </c>
      <c r="M3" s="134" t="s">
        <v>297</v>
      </c>
    </row>
    <row r="4" spans="3:13" ht="12.75">
      <c r="C4" s="80" t="s">
        <v>299</v>
      </c>
      <c r="D4" s="84"/>
      <c r="E4" s="82"/>
      <c r="F4" s="81"/>
      <c r="G4" s="81"/>
      <c r="H4" s="81"/>
      <c r="I4" s="81"/>
      <c r="J4" s="81"/>
      <c r="K4" s="81"/>
      <c r="L4" s="81"/>
      <c r="M4" s="81"/>
    </row>
    <row r="5" spans="3:13" ht="12.75">
      <c r="C5" s="80" t="s">
        <v>300</v>
      </c>
      <c r="D5" s="85"/>
      <c r="E5" s="82"/>
      <c r="F5" s="83"/>
      <c r="G5" s="83"/>
      <c r="H5" s="83"/>
      <c r="I5" s="83"/>
      <c r="J5" s="83"/>
      <c r="K5" s="83"/>
      <c r="L5" s="81"/>
      <c r="M5" s="81"/>
    </row>
    <row r="6" spans="3:13" ht="12.75">
      <c r="C6" s="80" t="s">
        <v>302</v>
      </c>
      <c r="D6" s="84"/>
      <c r="E6" s="82"/>
      <c r="F6" s="82"/>
      <c r="G6" s="83"/>
      <c r="H6" s="83"/>
      <c r="I6" s="83"/>
      <c r="J6" s="83"/>
      <c r="K6" s="83"/>
      <c r="L6" s="83"/>
      <c r="M6" s="83"/>
    </row>
    <row r="7" spans="3:13" ht="12.75">
      <c r="C7" s="80" t="s">
        <v>303</v>
      </c>
      <c r="D7" s="85"/>
      <c r="E7" s="82"/>
      <c r="F7" s="82"/>
      <c r="G7" s="82"/>
      <c r="H7" s="83"/>
      <c r="I7" s="83"/>
      <c r="J7" s="83"/>
      <c r="K7" s="83"/>
      <c r="L7" s="83"/>
      <c r="M7" s="83"/>
    </row>
    <row r="8" spans="3:13" ht="12.75">
      <c r="C8" s="80" t="s">
        <v>304</v>
      </c>
      <c r="D8" s="85"/>
      <c r="E8" s="82"/>
      <c r="F8" s="82"/>
      <c r="G8" s="82"/>
      <c r="H8" s="82"/>
      <c r="I8" s="83"/>
      <c r="J8" s="83"/>
      <c r="K8" s="83"/>
      <c r="L8" s="83"/>
      <c r="M8" s="83"/>
    </row>
    <row r="9" spans="3:13" ht="12.75">
      <c r="C9" s="80" t="s">
        <v>305</v>
      </c>
      <c r="D9" s="85"/>
      <c r="E9" s="83"/>
      <c r="F9" s="82"/>
      <c r="G9" s="82"/>
      <c r="H9" s="82"/>
      <c r="I9" s="82"/>
      <c r="J9" s="83"/>
      <c r="K9" s="83"/>
      <c r="L9" s="83"/>
      <c r="M9" s="83"/>
    </row>
    <row r="10" spans="3:13" ht="12.75">
      <c r="C10" s="80" t="s">
        <v>306</v>
      </c>
      <c r="D10" s="85"/>
      <c r="E10" s="83"/>
      <c r="F10" s="82"/>
      <c r="G10" s="82"/>
      <c r="H10" s="82"/>
      <c r="I10" s="82"/>
      <c r="J10" s="82"/>
      <c r="K10" s="83"/>
      <c r="L10" s="83"/>
      <c r="M10" s="83"/>
    </row>
    <row r="11" spans="3:13" ht="12.75">
      <c r="C11" s="80" t="s">
        <v>307</v>
      </c>
      <c r="D11" s="85"/>
      <c r="E11" s="83"/>
      <c r="F11" s="83"/>
      <c r="G11" s="83"/>
      <c r="H11" s="82"/>
      <c r="I11" s="82"/>
      <c r="J11" s="82"/>
      <c r="K11" s="82"/>
      <c r="L11" s="83"/>
      <c r="M11" s="83"/>
    </row>
    <row r="12" spans="3:13" ht="12.75">
      <c r="C12" s="80" t="s">
        <v>308</v>
      </c>
      <c r="D12" s="85"/>
      <c r="E12" s="83"/>
      <c r="F12" s="83"/>
      <c r="G12" s="83"/>
      <c r="H12" s="83"/>
      <c r="I12" s="83"/>
      <c r="J12" s="83"/>
      <c r="K12" s="82"/>
      <c r="L12" s="83"/>
      <c r="M12" s="83"/>
    </row>
    <row r="13" spans="3:13" ht="12.75">
      <c r="C13" s="80" t="s">
        <v>301</v>
      </c>
      <c r="D13" s="85"/>
      <c r="E13" s="83"/>
      <c r="F13" s="83"/>
      <c r="G13" s="83"/>
      <c r="H13" s="83"/>
      <c r="I13" s="83"/>
      <c r="J13" s="83"/>
      <c r="K13" s="83"/>
      <c r="L13" s="82"/>
      <c r="M13" s="82"/>
    </row>
  </sheetData>
  <sheetProtection/>
  <mergeCells count="4">
    <mergeCell ref="C2:C3"/>
    <mergeCell ref="D2:G2"/>
    <mergeCell ref="H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AE35"/>
  <sheetViews>
    <sheetView tabSelected="1" zoomScalePageLayoutView="0" workbookViewId="0" topLeftCell="D15">
      <selection activeCell="C32" sqref="C32:AE35"/>
    </sheetView>
  </sheetViews>
  <sheetFormatPr defaultColWidth="9.140625" defaultRowHeight="12.75"/>
  <cols>
    <col min="3" max="3" width="31.57421875" style="0" bestFit="1" customWidth="1"/>
    <col min="5" max="5" width="10.28125" style="0" hidden="1" customWidth="1"/>
    <col min="6" max="6" width="9.57421875" style="0" hidden="1" customWidth="1"/>
    <col min="7" max="7" width="12.8515625" style="0" hidden="1" customWidth="1"/>
    <col min="8" max="17" width="11.28125" style="0" hidden="1" customWidth="1"/>
    <col min="18" max="31" width="11.28125" style="0" bestFit="1" customWidth="1"/>
  </cols>
  <sheetData>
    <row r="2" ht="12.75">
      <c r="C2" s="1" t="s">
        <v>407</v>
      </c>
    </row>
    <row r="3" ht="12.75">
      <c r="L3" s="52"/>
    </row>
    <row r="4" spans="3:31" s="2" customFormat="1" ht="12.75">
      <c r="C4" s="59" t="s">
        <v>1</v>
      </c>
      <c r="D4" s="59" t="s">
        <v>2</v>
      </c>
      <c r="E4" s="60">
        <f>'CF'!E4</f>
        <v>44651</v>
      </c>
      <c r="F4" s="60">
        <f>'CF'!F4</f>
        <v>45016</v>
      </c>
      <c r="G4" s="60">
        <f>'CF'!G4</f>
        <v>45382</v>
      </c>
      <c r="H4" s="60">
        <f>'CF'!H4</f>
        <v>45747</v>
      </c>
      <c r="I4" s="60">
        <f>'CF'!I4</f>
        <v>46112</v>
      </c>
      <c r="J4" s="60">
        <f>'CF'!J4</f>
        <v>46477</v>
      </c>
      <c r="K4" s="60">
        <f>'CF'!K4</f>
        <v>46843</v>
      </c>
      <c r="L4" s="60">
        <f>'CF'!L4</f>
        <v>47208</v>
      </c>
      <c r="M4" s="60">
        <f>'CF'!M4</f>
        <v>47573</v>
      </c>
      <c r="N4" s="60">
        <f>'CF'!N4</f>
        <v>47938</v>
      </c>
      <c r="O4" s="60">
        <f>'CF'!O4</f>
        <v>48304</v>
      </c>
      <c r="P4" s="60">
        <f>'CF'!P4</f>
        <v>48669</v>
      </c>
      <c r="Q4" s="60">
        <f>'CF'!Q4</f>
        <v>49034</v>
      </c>
      <c r="R4" s="60">
        <f>'CF'!R4</f>
        <v>49399</v>
      </c>
      <c r="S4" s="60">
        <f>'CF'!S4</f>
        <v>49765</v>
      </c>
      <c r="T4" s="60">
        <f>'CF'!T4</f>
        <v>50130</v>
      </c>
      <c r="U4" s="60">
        <f>'CF'!U4</f>
        <v>50495</v>
      </c>
      <c r="V4" s="60">
        <f>'CF'!V4</f>
        <v>50860</v>
      </c>
      <c r="W4" s="60">
        <f>'CF'!W4</f>
        <v>51226</v>
      </c>
      <c r="X4" s="60">
        <f>'CF'!X4</f>
        <v>51591</v>
      </c>
      <c r="Y4" s="60">
        <f>'CF'!Y4</f>
        <v>51956</v>
      </c>
      <c r="Z4" s="60">
        <f>'CF'!Z4</f>
        <v>52321</v>
      </c>
      <c r="AA4" s="60">
        <f>'CF'!AA4</f>
        <v>52687</v>
      </c>
      <c r="AB4" s="60">
        <f>'CF'!AB4</f>
        <v>53052</v>
      </c>
      <c r="AC4" s="60">
        <f>'CF'!AC4</f>
        <v>53417</v>
      </c>
      <c r="AD4" s="60">
        <f>'CF'!AD4</f>
        <v>53782</v>
      </c>
      <c r="AE4" s="60">
        <f>'CF'!AE4</f>
        <v>54148</v>
      </c>
    </row>
    <row r="5" spans="3:31" ht="12.75">
      <c r="C5" s="20" t="s">
        <v>48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3:31" ht="12.75">
      <c r="C6" s="5" t="s">
        <v>401</v>
      </c>
      <c r="D6" s="5" t="s">
        <v>397</v>
      </c>
      <c r="E6" s="14">
        <f>'P&amp;L'!E23</f>
        <v>0</v>
      </c>
      <c r="F6" s="14"/>
      <c r="G6" s="14">
        <f>'P&amp;L'!G23</f>
        <v>3.0717139393271458</v>
      </c>
      <c r="H6" s="14">
        <f>'P&amp;L'!H23</f>
        <v>5.828380295133558</v>
      </c>
      <c r="I6" s="14">
        <f>'P&amp;L'!I23</f>
        <v>5.198285128092092</v>
      </c>
      <c r="J6" s="14">
        <f>'P&amp;L'!J23</f>
        <v>4.568189961050624</v>
      </c>
      <c r="K6" s="14">
        <f>'P&amp;L'!K23</f>
        <v>3.938094794009159</v>
      </c>
      <c r="L6" s="14">
        <f>'P&amp;L'!L23</f>
        <v>3.3079996269676917</v>
      </c>
      <c r="M6" s="14">
        <f>'P&amp;L'!M23</f>
        <v>2.677904459926226</v>
      </c>
      <c r="N6" s="14">
        <f>'P&amp;L'!N23</f>
        <v>2.047809292884759</v>
      </c>
      <c r="O6" s="14">
        <f>'P&amp;L'!O23</f>
        <v>1.4177141258432933</v>
      </c>
      <c r="P6" s="14">
        <f>'P&amp;L'!P23</f>
        <v>0.7876189588018275</v>
      </c>
      <c r="Q6" s="14">
        <f>'P&amp;L'!Q23</f>
        <v>0.17721426573040933</v>
      </c>
      <c r="R6" s="14">
        <f>'P&amp;L'!R23</f>
        <v>0</v>
      </c>
      <c r="S6" s="14">
        <f>'P&amp;L'!S23</f>
        <v>0</v>
      </c>
      <c r="T6" s="14">
        <f>'P&amp;L'!T23</f>
        <v>0</v>
      </c>
      <c r="U6" s="14">
        <f>'P&amp;L'!U23</f>
        <v>0</v>
      </c>
      <c r="V6" s="14">
        <f>'P&amp;L'!V23</f>
        <v>0</v>
      </c>
      <c r="W6" s="14">
        <f>'P&amp;L'!W23</f>
        <v>0</v>
      </c>
      <c r="X6" s="14">
        <f>'P&amp;L'!X23</f>
        <v>0</v>
      </c>
      <c r="Y6" s="14">
        <f>'P&amp;L'!Y23</f>
        <v>0</v>
      </c>
      <c r="Z6" s="14">
        <f>'P&amp;L'!Z23</f>
        <v>0</v>
      </c>
      <c r="AA6" s="14">
        <f>'P&amp;L'!AA23</f>
        <v>0</v>
      </c>
      <c r="AB6" s="14">
        <f>'P&amp;L'!AB23</f>
        <v>0</v>
      </c>
      <c r="AC6" s="14">
        <f>'P&amp;L'!AC23</f>
        <v>0</v>
      </c>
      <c r="AD6" s="14">
        <f>'P&amp;L'!AD23</f>
        <v>0</v>
      </c>
      <c r="AE6" s="14">
        <f>'P&amp;L'!AE23</f>
        <v>0</v>
      </c>
    </row>
    <row r="7" spans="3:31" ht="12.75">
      <c r="C7" s="5" t="s">
        <v>88</v>
      </c>
      <c r="D7" s="5" t="str">
        <f>D6</f>
        <v>Rs. Crore</v>
      </c>
      <c r="E7" s="14">
        <f>'P&amp;L'!E24</f>
        <v>0</v>
      </c>
      <c r="F7" s="14">
        <f>'P&amp;L'!F24</f>
        <v>0</v>
      </c>
      <c r="G7" s="14">
        <f>'P&amp;L'!G24</f>
        <v>0.30356988063122964</v>
      </c>
      <c r="H7" s="14">
        <f>'P&amp;L'!H24</f>
        <v>0.32274179012989307</v>
      </c>
      <c r="I7" s="14">
        <f>'P&amp;L'!I24</f>
        <v>0.3417871856367552</v>
      </c>
      <c r="J7" s="14">
        <f>'P&amp;L'!J24</f>
        <v>0.36106472414817214</v>
      </c>
      <c r="K7" s="14">
        <f>'P&amp;L'!K24</f>
        <v>0.360374245239475</v>
      </c>
      <c r="L7" s="14">
        <f>'P&amp;L'!L24</f>
        <v>0.35964342982607844</v>
      </c>
      <c r="M7" s="14">
        <f>'P&amp;L'!M24</f>
        <v>0.3595395789475901</v>
      </c>
      <c r="N7" s="14">
        <f>'P&amp;L'!N24</f>
        <v>0.358741486894601</v>
      </c>
      <c r="O7" s="14">
        <f>'P&amp;L'!O24</f>
        <v>0.3579170302694311</v>
      </c>
      <c r="P7" s="14">
        <f>'P&amp;L'!P24</f>
        <v>0.35911194702997495</v>
      </c>
      <c r="Q7" s="14">
        <f>'P&amp;L'!Q24</f>
        <v>0.35950662872338207</v>
      </c>
      <c r="R7" s="14">
        <f>'P&amp;L'!R24</f>
        <v>0.3599131508675913</v>
      </c>
      <c r="S7" s="14">
        <f>'P&amp;L'!S24</f>
        <v>0.3611312774247419</v>
      </c>
      <c r="T7" s="14">
        <f>'P&amp;L'!T24</f>
        <v>0.36164535267364</v>
      </c>
      <c r="U7" s="14">
        <f>'P&amp;L'!U24</f>
        <v>0.362116036536357</v>
      </c>
      <c r="V7" s="14">
        <f>'P&amp;L'!V24</f>
        <v>0.3631000040713257</v>
      </c>
      <c r="W7" s="14">
        <f>'P&amp;L'!W24</f>
        <v>0.3636143274759733</v>
      </c>
      <c r="X7" s="14">
        <f>'P&amp;L'!X24</f>
        <v>0.36414408058276027</v>
      </c>
      <c r="Y7" s="14">
        <f>'P&amp;L'!Y24</f>
        <v>0.36621698364618943</v>
      </c>
      <c r="Z7" s="14">
        <f>'P&amp;L'!Z24</f>
        <v>0.36682481643808296</v>
      </c>
      <c r="AA7" s="14">
        <f>'P&amp;L'!AA24</f>
        <v>0.3674508842137332</v>
      </c>
      <c r="AB7" s="14">
        <f>'P&amp;L'!AB24</f>
        <v>0.3686917609358595</v>
      </c>
      <c r="AC7" s="14">
        <f>'P&amp;L'!AC24</f>
        <v>0.3693738370464431</v>
      </c>
      <c r="AD7" s="14">
        <f>'P&amp;L'!AD24</f>
        <v>0.37015541605937174</v>
      </c>
      <c r="AE7" s="14">
        <f>'P&amp;L'!AE24</f>
        <v>0.37088140182366075</v>
      </c>
    </row>
    <row r="8" spans="3:31" ht="12.75">
      <c r="C8" s="5" t="s">
        <v>76</v>
      </c>
      <c r="D8" s="5" t="str">
        <f>D7</f>
        <v>Rs. Crore</v>
      </c>
      <c r="E8" s="14">
        <f>'P&amp;L'!E22</f>
        <v>0</v>
      </c>
      <c r="F8" s="14">
        <f>'P&amp;L'!F22</f>
        <v>0</v>
      </c>
      <c r="G8" s="14">
        <f>'P&amp;L'!G22</f>
        <v>2.0233009949999996</v>
      </c>
      <c r="H8" s="14">
        <f>'P&amp;L'!H22</f>
        <v>2.0233009949999996</v>
      </c>
      <c r="I8" s="14">
        <f>'P&amp;L'!I22</f>
        <v>2.0233009949999996</v>
      </c>
      <c r="J8" s="14">
        <f>'P&amp;L'!J22</f>
        <v>2.1073009949999997</v>
      </c>
      <c r="K8" s="14">
        <f>'P&amp;L'!K22</f>
        <v>2.1073009949999997</v>
      </c>
      <c r="L8" s="14">
        <f>'P&amp;L'!L22</f>
        <v>2.1073009949999997</v>
      </c>
      <c r="M8" s="14">
        <f>'P&amp;L'!M22</f>
        <v>2.247300995</v>
      </c>
      <c r="N8" s="14">
        <f>'P&amp;L'!N22</f>
        <v>2.247300995</v>
      </c>
      <c r="O8" s="14">
        <f>'P&amp;L'!O22</f>
        <v>2.251300995</v>
      </c>
      <c r="P8" s="14">
        <f>'P&amp;L'!P22</f>
        <v>2.411300995</v>
      </c>
      <c r="Q8" s="14">
        <f>'P&amp;L'!Q22</f>
        <v>2.411300995</v>
      </c>
      <c r="R8" s="14">
        <f>'P&amp;L'!R22</f>
        <v>2.411300995</v>
      </c>
      <c r="S8" s="14">
        <f>'P&amp;L'!S22</f>
        <v>2.5513009949999996</v>
      </c>
      <c r="T8" s="14">
        <f>'P&amp;L'!T22</f>
        <v>2.561300995</v>
      </c>
      <c r="U8" s="14">
        <f>'P&amp;L'!U22</f>
        <v>2.561300995</v>
      </c>
      <c r="V8" s="14">
        <f>'P&amp;L'!V22</f>
        <v>2.641300995</v>
      </c>
      <c r="W8" s="14">
        <f>'P&amp;L'!W22</f>
        <v>2.641300995</v>
      </c>
      <c r="X8" s="14">
        <f>'P&amp;L'!X22</f>
        <v>2.641300995</v>
      </c>
      <c r="Y8" s="14">
        <f>'P&amp;L'!Y22</f>
        <v>2.8653009949999997</v>
      </c>
      <c r="Z8" s="14">
        <f>'P&amp;L'!Z22</f>
        <v>2.8653009949999997</v>
      </c>
      <c r="AA8" s="14">
        <f>'P&amp;L'!AA22</f>
        <v>2.8653009949999997</v>
      </c>
      <c r="AB8" s="14">
        <f>'P&amp;L'!AB22</f>
        <v>2.9453009949999998</v>
      </c>
      <c r="AC8" s="14">
        <f>'P&amp;L'!AC22</f>
        <v>2.9453009949999998</v>
      </c>
      <c r="AD8" s="14">
        <f>'P&amp;L'!AD22</f>
        <v>2.9553009949999995</v>
      </c>
      <c r="AE8" s="14">
        <f>'P&amp;L'!AE22</f>
        <v>2.9553009949999995</v>
      </c>
    </row>
    <row r="9" spans="3:31" ht="12.75">
      <c r="C9" s="5" t="s">
        <v>402</v>
      </c>
      <c r="D9" s="5" t="str">
        <f>D8</f>
        <v>Rs. Crore</v>
      </c>
      <c r="E9" s="14">
        <v>0</v>
      </c>
      <c r="F9" s="14">
        <v>0</v>
      </c>
      <c r="G9" s="14">
        <f>'BS'!G8*Input!$E$98</f>
        <v>2.2652528087573174</v>
      </c>
      <c r="H9" s="14">
        <f>'BS'!H8*Input!$E$98</f>
        <v>2.909737144814591</v>
      </c>
      <c r="I9" s="14">
        <f>'BS'!I8*Input!$E$98</f>
        <v>3.554534344536427</v>
      </c>
      <c r="J9" s="14">
        <f>'BS'!J8*Input!$E$98</f>
        <v>4.606176570005971</v>
      </c>
      <c r="K9" s="14">
        <f>'BS'!K8*Input!$E$98</f>
        <v>5.3989046454042136</v>
      </c>
      <c r="L9" s="14">
        <f>'BS'!L8*Input!$E$98</f>
        <v>6.225840968590865</v>
      </c>
      <c r="M9" s="14">
        <v>6.75</v>
      </c>
      <c r="N9" s="14">
        <f aca="true" t="shared" si="0" ref="N9:AE9">M9</f>
        <v>6.75</v>
      </c>
      <c r="O9" s="14">
        <f t="shared" si="0"/>
        <v>6.75</v>
      </c>
      <c r="P9" s="14">
        <f t="shared" si="0"/>
        <v>6.75</v>
      </c>
      <c r="Q9" s="14">
        <f t="shared" si="0"/>
        <v>6.75</v>
      </c>
      <c r="R9" s="14">
        <f t="shared" si="0"/>
        <v>6.75</v>
      </c>
      <c r="S9" s="14">
        <f t="shared" si="0"/>
        <v>6.75</v>
      </c>
      <c r="T9" s="14">
        <f t="shared" si="0"/>
        <v>6.75</v>
      </c>
      <c r="U9" s="14">
        <f t="shared" si="0"/>
        <v>6.75</v>
      </c>
      <c r="V9" s="14">
        <f t="shared" si="0"/>
        <v>6.75</v>
      </c>
      <c r="W9" s="14">
        <f t="shared" si="0"/>
        <v>6.75</v>
      </c>
      <c r="X9" s="14">
        <f t="shared" si="0"/>
        <v>6.75</v>
      </c>
      <c r="Y9" s="14">
        <f t="shared" si="0"/>
        <v>6.75</v>
      </c>
      <c r="Z9" s="14">
        <f t="shared" si="0"/>
        <v>6.75</v>
      </c>
      <c r="AA9" s="14">
        <f t="shared" si="0"/>
        <v>6.75</v>
      </c>
      <c r="AB9" s="14">
        <f t="shared" si="0"/>
        <v>6.75</v>
      </c>
      <c r="AC9" s="14">
        <f t="shared" si="0"/>
        <v>6.75</v>
      </c>
      <c r="AD9" s="14">
        <f t="shared" si="0"/>
        <v>6.75</v>
      </c>
      <c r="AE9" s="14">
        <f t="shared" si="0"/>
        <v>6.75</v>
      </c>
    </row>
    <row r="10" spans="3:31" ht="12.75">
      <c r="C10" s="5" t="s">
        <v>411</v>
      </c>
      <c r="D10" s="5" t="str">
        <f>D9</f>
        <v>Rs. Crore</v>
      </c>
      <c r="E10" s="14">
        <f>Input!E72</f>
        <v>0</v>
      </c>
      <c r="F10" s="14">
        <f>Input!F72</f>
        <v>0</v>
      </c>
      <c r="G10" s="14">
        <f>Input!G72</f>
        <v>1.597242657321426</v>
      </c>
      <c r="H10" s="14">
        <f>Input!H72</f>
        <v>1.6451599370410688</v>
      </c>
      <c r="I10" s="14">
        <f>Input!I72</f>
        <v>1.6945147351523009</v>
      </c>
      <c r="J10" s="14">
        <f>Input!J72</f>
        <v>1.81419197820687</v>
      </c>
      <c r="K10" s="14">
        <f>Input!K72</f>
        <v>1.8686177375530761</v>
      </c>
      <c r="L10" s="14">
        <f>Input!L72</f>
        <v>1.9246762696796689</v>
      </c>
      <c r="M10" s="14">
        <f>Input!M72</f>
        <v>2.107792048905604</v>
      </c>
      <c r="N10" s="14">
        <f>Input!N72</f>
        <v>2.171025810372772</v>
      </c>
      <c r="O10" s="14">
        <f>Input!O72</f>
        <v>2.239956894928118</v>
      </c>
      <c r="P10" s="14">
        <f>Input!P72</f>
        <v>2.4637283838354707</v>
      </c>
      <c r="Q10" s="14">
        <f>Input!Q72</f>
        <v>2.537640235350535</v>
      </c>
      <c r="R10" s="14">
        <f>Input!R72</f>
        <v>2.613769442411051</v>
      </c>
      <c r="S10" s="14">
        <f>Input!S72</f>
        <v>2.841887418802232</v>
      </c>
      <c r="T10" s="14">
        <f>Input!T72</f>
        <v>2.938158044217185</v>
      </c>
      <c r="U10" s="14">
        <f>Input!U72</f>
        <v>3.026302785543701</v>
      </c>
      <c r="V10" s="14">
        <f>Input!V72</f>
        <v>3.2105699141060584</v>
      </c>
      <c r="W10" s="14">
        <f>Input!W72</f>
        <v>3.30688701152924</v>
      </c>
      <c r="X10" s="14">
        <f>Input!X72</f>
        <v>3.4060936218751174</v>
      </c>
      <c r="Y10" s="14">
        <f>Input!Y72</f>
        <v>3.794285184819675</v>
      </c>
      <c r="Z10" s="14">
        <f>Input!Z72</f>
        <v>3.9081137403642656</v>
      </c>
      <c r="AA10" s="14">
        <f>Input!AA72</f>
        <v>4.025357152575194</v>
      </c>
      <c r="AB10" s="14">
        <f>Input!AB72</f>
        <v>4.25773554145502</v>
      </c>
      <c r="AC10" s="14">
        <f>Input!AC72</f>
        <v>4.38546760769867</v>
      </c>
      <c r="AD10" s="14">
        <f>Input!AD72</f>
        <v>4.53183353476308</v>
      </c>
      <c r="AE10" s="14">
        <f>Input!AE72</f>
        <v>4.667788540805972</v>
      </c>
    </row>
    <row r="11" spans="3:31" ht="12.75">
      <c r="C11" s="5" t="s">
        <v>403</v>
      </c>
      <c r="D11" s="5" t="str">
        <f>D10</f>
        <v>Rs. Crore</v>
      </c>
      <c r="E11" s="14">
        <f>'P&amp;L'!E14</f>
        <v>0</v>
      </c>
      <c r="F11" s="14">
        <f>'P&amp;L'!F14</f>
        <v>0</v>
      </c>
      <c r="G11" s="14">
        <f>'P&amp;L'!G14</f>
        <v>1.3429654875</v>
      </c>
      <c r="H11" s="14">
        <f>'P&amp;L'!H14</f>
        <v>1.43249652</v>
      </c>
      <c r="I11" s="14">
        <f>'P&amp;L'!I14</f>
        <v>1.5220275525000007</v>
      </c>
      <c r="J11" s="14">
        <f>'P&amp;L'!J14</f>
        <v>1.6115585850000005</v>
      </c>
      <c r="K11" s="14">
        <f>'P&amp;L'!K14</f>
        <v>1.611558585</v>
      </c>
      <c r="L11" s="14">
        <f>'P&amp;L'!L14</f>
        <v>1.611558585</v>
      </c>
      <c r="M11" s="14">
        <f>'P&amp;L'!M14</f>
        <v>1.611558585</v>
      </c>
      <c r="N11" s="14">
        <f>'P&amp;L'!N14</f>
        <v>1.611558585</v>
      </c>
      <c r="O11" s="14">
        <f>'P&amp;L'!O14</f>
        <v>1.611558585</v>
      </c>
      <c r="P11" s="14">
        <f>'P&amp;L'!P14</f>
        <v>1.611558585</v>
      </c>
      <c r="Q11" s="14">
        <f>'P&amp;L'!Q14</f>
        <v>1.611558585</v>
      </c>
      <c r="R11" s="14">
        <f>'P&amp;L'!R14</f>
        <v>1.611558585</v>
      </c>
      <c r="S11" s="14">
        <f>'P&amp;L'!S14</f>
        <v>1.611558585</v>
      </c>
      <c r="T11" s="14">
        <f>'P&amp;L'!T14</f>
        <v>1.611558585</v>
      </c>
      <c r="U11" s="14">
        <f>'P&amp;L'!U14</f>
        <v>1.611558585</v>
      </c>
      <c r="V11" s="14">
        <f>'P&amp;L'!V14</f>
        <v>1.611558585</v>
      </c>
      <c r="W11" s="14">
        <f>'P&amp;L'!W14</f>
        <v>1.611558585</v>
      </c>
      <c r="X11" s="14">
        <f>'P&amp;L'!X14</f>
        <v>1.611558585</v>
      </c>
      <c r="Y11" s="14">
        <f>'P&amp;L'!Y14</f>
        <v>1.611558585</v>
      </c>
      <c r="Z11" s="14">
        <f>'P&amp;L'!Z14</f>
        <v>1.611558585</v>
      </c>
      <c r="AA11" s="14">
        <f>'P&amp;L'!AA14</f>
        <v>1.611558585</v>
      </c>
      <c r="AB11" s="14">
        <f>'P&amp;L'!AB14</f>
        <v>1.611558585</v>
      </c>
      <c r="AC11" s="14">
        <f>'P&amp;L'!AC14</f>
        <v>1.611558585</v>
      </c>
      <c r="AD11" s="14">
        <f>'P&amp;L'!AD14</f>
        <v>1.611558585</v>
      </c>
      <c r="AE11" s="14">
        <f>'P&amp;L'!AE14</f>
        <v>1.611558585</v>
      </c>
    </row>
    <row r="12" spans="3:31" ht="12.75">
      <c r="C12" s="5" t="s">
        <v>404</v>
      </c>
      <c r="D12" s="5" t="str">
        <f>D11</f>
        <v>Rs. Crore</v>
      </c>
      <c r="E12" s="14">
        <f>'P&amp;L'!E15</f>
        <v>0</v>
      </c>
      <c r="F12" s="14">
        <f>'P&amp;L'!F15</f>
        <v>0</v>
      </c>
      <c r="G12" s="14">
        <f>'P&amp;L'!G15</f>
        <v>1</v>
      </c>
      <c r="H12" s="14">
        <f>'P&amp;L'!H15</f>
        <v>1.03</v>
      </c>
      <c r="I12" s="14">
        <f>'P&amp;L'!I15</f>
        <v>1.0609</v>
      </c>
      <c r="J12" s="14">
        <f>'P&amp;L'!J15</f>
        <v>1.092727</v>
      </c>
      <c r="K12" s="14">
        <f>'P&amp;L'!K15</f>
        <v>1.1255088100000001</v>
      </c>
      <c r="L12" s="14">
        <f>'P&amp;L'!L15</f>
        <v>1.1592740743</v>
      </c>
      <c r="M12" s="14">
        <f>'P&amp;L'!M15</f>
        <v>1.1940522965290001</v>
      </c>
      <c r="N12" s="14">
        <f>'P&amp;L'!N15</f>
        <v>1.2298738654248702</v>
      </c>
      <c r="O12" s="14">
        <f>'P&amp;L'!O15</f>
        <v>1.2667700813876164</v>
      </c>
      <c r="P12" s="14">
        <f>'P&amp;L'!P15</f>
        <v>1.304773183829245</v>
      </c>
      <c r="Q12" s="14">
        <f>'P&amp;L'!Q15</f>
        <v>1.3439163793441222</v>
      </c>
      <c r="R12" s="14">
        <f>'P&amp;L'!R15</f>
        <v>1.384233870724446</v>
      </c>
      <c r="S12" s="14">
        <f>'P&amp;L'!S15</f>
        <v>1.4257608868461793</v>
      </c>
      <c r="T12" s="14">
        <f>'P&amp;L'!T15</f>
        <v>1.4685337134515648</v>
      </c>
      <c r="U12" s="14">
        <f>'P&amp;L'!U15</f>
        <v>1.512589724855112</v>
      </c>
      <c r="V12" s="14">
        <f>'P&amp;L'!V15</f>
        <v>1.5579674166007653</v>
      </c>
      <c r="W12" s="14">
        <f>'P&amp;L'!W15</f>
        <v>1.6047064390987884</v>
      </c>
      <c r="X12" s="14">
        <f>'P&amp;L'!X15</f>
        <v>1.652847632271752</v>
      </c>
      <c r="Y12" s="14">
        <f>'P&amp;L'!Y15</f>
        <v>1.7024330612399046</v>
      </c>
      <c r="Z12" s="14">
        <f>'P&amp;L'!Z15</f>
        <v>1.7535060530771018</v>
      </c>
      <c r="AA12" s="14">
        <f>'P&amp;L'!AA15</f>
        <v>1.806111234669415</v>
      </c>
      <c r="AB12" s="14">
        <f>'P&amp;L'!AB15</f>
        <v>1.8602945717094976</v>
      </c>
      <c r="AC12" s="14">
        <f>'P&amp;L'!AC15</f>
        <v>1.9161034088607827</v>
      </c>
      <c r="AD12" s="14">
        <f>'P&amp;L'!AD15</f>
        <v>1.9735865111266062</v>
      </c>
      <c r="AE12" s="14">
        <f>'P&amp;L'!AE15</f>
        <v>2.0327941064604045</v>
      </c>
    </row>
    <row r="13" spans="3:31" s="1" customFormat="1" ht="12.75">
      <c r="C13" s="20" t="s">
        <v>405</v>
      </c>
      <c r="D13" s="20" t="str">
        <f>D12</f>
        <v>Rs. Crore</v>
      </c>
      <c r="E13" s="28">
        <f>SUM(E6:E12)</f>
        <v>0</v>
      </c>
      <c r="F13" s="28">
        <f aca="true" t="shared" si="1" ref="F13:AE13">SUM(F6:F12)</f>
        <v>0</v>
      </c>
      <c r="G13" s="28">
        <f t="shared" si="1"/>
        <v>11.60404576853712</v>
      </c>
      <c r="H13" s="28">
        <f t="shared" si="1"/>
        <v>15.191816682119109</v>
      </c>
      <c r="I13" s="28">
        <f t="shared" si="1"/>
        <v>15.395349940917576</v>
      </c>
      <c r="J13" s="28">
        <f t="shared" si="1"/>
        <v>16.161209813411638</v>
      </c>
      <c r="K13" s="28">
        <f t="shared" si="1"/>
        <v>16.41035981220592</v>
      </c>
      <c r="L13" s="28">
        <f t="shared" si="1"/>
        <v>16.696293949364303</v>
      </c>
      <c r="M13" s="28">
        <f t="shared" si="1"/>
        <v>16.948147964308422</v>
      </c>
      <c r="N13" s="28">
        <f t="shared" si="1"/>
        <v>16.416310035577002</v>
      </c>
      <c r="O13" s="28">
        <f t="shared" si="1"/>
        <v>15.895217712428458</v>
      </c>
      <c r="P13" s="28">
        <f t="shared" si="1"/>
        <v>15.688092053496518</v>
      </c>
      <c r="Q13" s="28">
        <f t="shared" si="1"/>
        <v>15.191137089148448</v>
      </c>
      <c r="R13" s="28">
        <f t="shared" si="1"/>
        <v>15.13077604400309</v>
      </c>
      <c r="S13" s="28">
        <f t="shared" si="1"/>
        <v>15.541639163073151</v>
      </c>
      <c r="T13" s="28">
        <f t="shared" si="1"/>
        <v>15.691196690342393</v>
      </c>
      <c r="U13" s="28">
        <f t="shared" si="1"/>
        <v>15.823868126935167</v>
      </c>
      <c r="V13" s="28">
        <f t="shared" si="1"/>
        <v>16.134496914778147</v>
      </c>
      <c r="W13" s="28">
        <f t="shared" si="1"/>
        <v>16.278067358104</v>
      </c>
      <c r="X13" s="28">
        <f t="shared" si="1"/>
        <v>16.425944914729627</v>
      </c>
      <c r="Y13" s="28">
        <f t="shared" si="1"/>
        <v>17.08979480970577</v>
      </c>
      <c r="Z13" s="28">
        <f t="shared" si="1"/>
        <v>17.255304189879453</v>
      </c>
      <c r="AA13" s="28">
        <f t="shared" si="1"/>
        <v>17.425778851458343</v>
      </c>
      <c r="AB13" s="28">
        <f t="shared" si="1"/>
        <v>17.793581454100377</v>
      </c>
      <c r="AC13" s="28">
        <f t="shared" si="1"/>
        <v>17.977804433605893</v>
      </c>
      <c r="AD13" s="28">
        <f t="shared" si="1"/>
        <v>18.192435041949057</v>
      </c>
      <c r="AE13" s="28">
        <f t="shared" si="1"/>
        <v>18.38832362909004</v>
      </c>
    </row>
    <row r="14" spans="3:31" ht="12.75">
      <c r="C14" s="5" t="s">
        <v>406</v>
      </c>
      <c r="D14" s="5" t="s">
        <v>12</v>
      </c>
      <c r="E14" s="14">
        <f>Input!E22*10^5</f>
        <v>0</v>
      </c>
      <c r="F14" s="14">
        <f>Input!F22*10^5</f>
        <v>0</v>
      </c>
      <c r="G14" s="7">
        <f>Input!G22*10^5</f>
        <v>56050312.49999999</v>
      </c>
      <c r="H14" s="7">
        <f>Input!H22*10^5</f>
        <v>59787000</v>
      </c>
      <c r="I14" s="7">
        <f>Input!I22*10^5</f>
        <v>63523687.500000015</v>
      </c>
      <c r="J14" s="7">
        <f>Input!J22*10^5</f>
        <v>67260375.00000001</v>
      </c>
      <c r="K14" s="7">
        <f>Input!K22*10^5</f>
        <v>67260375</v>
      </c>
      <c r="L14" s="7">
        <f>Input!L22*10^5</f>
        <v>67260375</v>
      </c>
      <c r="M14" s="7">
        <f>Input!M22*10^5</f>
        <v>67260375</v>
      </c>
      <c r="N14" s="7">
        <f>Input!N22*10^5</f>
        <v>67260375</v>
      </c>
      <c r="O14" s="7">
        <f>Input!O22*10^5</f>
        <v>67260375</v>
      </c>
      <c r="P14" s="7">
        <f>Input!P22*10^5</f>
        <v>67260375</v>
      </c>
      <c r="Q14" s="7">
        <f>Input!Q22*10^5</f>
        <v>67260375</v>
      </c>
      <c r="R14" s="7">
        <f>Input!R22*10^5</f>
        <v>67260375</v>
      </c>
      <c r="S14" s="7">
        <f>Input!S22*10^5</f>
        <v>67260375</v>
      </c>
      <c r="T14" s="7">
        <f>Input!T22*10^5</f>
        <v>67260375</v>
      </c>
      <c r="U14" s="7">
        <f>Input!U22*10^5</f>
        <v>67260375</v>
      </c>
      <c r="V14" s="7">
        <f>Input!V22*10^5</f>
        <v>67260375</v>
      </c>
      <c r="W14" s="7">
        <f>Input!W22*10^5</f>
        <v>67260375</v>
      </c>
      <c r="X14" s="7">
        <f>Input!X22*10^5</f>
        <v>67260375</v>
      </c>
      <c r="Y14" s="7">
        <f>Input!Y22*10^5</f>
        <v>67260375</v>
      </c>
      <c r="Z14" s="7">
        <f>Input!Z22*10^5</f>
        <v>67260375</v>
      </c>
      <c r="AA14" s="7">
        <f>Input!AA22*10^5</f>
        <v>67260375</v>
      </c>
      <c r="AB14" s="7">
        <f>Input!AB22*10^5</f>
        <v>67260375</v>
      </c>
      <c r="AC14" s="7">
        <f>Input!AC22*10^5</f>
        <v>67260375</v>
      </c>
      <c r="AD14" s="7">
        <f>Input!AD22*10^5</f>
        <v>67260375</v>
      </c>
      <c r="AE14" s="7">
        <f>Input!AE22*10^5</f>
        <v>67260375</v>
      </c>
    </row>
    <row r="15" spans="3:31" s="1" customFormat="1" ht="12.75">
      <c r="C15" s="20" t="s">
        <v>408</v>
      </c>
      <c r="D15" s="20" t="s">
        <v>235</v>
      </c>
      <c r="E15" s="28">
        <f aca="true" t="shared" si="2" ref="E15:AE15">IF(E14&lt;=0,0,E13*cr/E14)</f>
        <v>0</v>
      </c>
      <c r="F15" s="28">
        <f t="shared" si="2"/>
        <v>0</v>
      </c>
      <c r="G15" s="28">
        <f t="shared" si="2"/>
        <v>2.070291003022886</v>
      </c>
      <c r="H15" s="28">
        <f t="shared" si="2"/>
        <v>2.5409899613827607</v>
      </c>
      <c r="I15" s="28">
        <f t="shared" si="2"/>
        <v>2.4235604932282264</v>
      </c>
      <c r="J15" s="28">
        <f t="shared" si="2"/>
        <v>2.402783186000916</v>
      </c>
      <c r="K15" s="28">
        <f t="shared" si="2"/>
        <v>2.4398257982067335</v>
      </c>
      <c r="L15" s="28">
        <f t="shared" si="2"/>
        <v>2.4823373270464675</v>
      </c>
      <c r="M15" s="28">
        <f t="shared" si="2"/>
        <v>2.5197819614161268</v>
      </c>
      <c r="N15" s="28">
        <f t="shared" si="2"/>
        <v>2.4407104533058286</v>
      </c>
      <c r="O15" s="28">
        <f t="shared" si="2"/>
        <v>2.3632365582898487</v>
      </c>
      <c r="P15" s="28">
        <f t="shared" si="2"/>
        <v>2.3324419546421677</v>
      </c>
      <c r="Q15" s="28">
        <f t="shared" si="2"/>
        <v>2.2585567043223365</v>
      </c>
      <c r="R15" s="28">
        <f t="shared" si="2"/>
        <v>2.249582468727403</v>
      </c>
      <c r="S15" s="28">
        <f t="shared" si="2"/>
        <v>2.310667932355886</v>
      </c>
      <c r="T15" s="28">
        <f t="shared" si="2"/>
        <v>2.332903539467687</v>
      </c>
      <c r="U15" s="28">
        <f t="shared" si="2"/>
        <v>2.3526285910441573</v>
      </c>
      <c r="V15" s="28">
        <f t="shared" si="2"/>
        <v>2.398811620479093</v>
      </c>
      <c r="W15" s="28">
        <f t="shared" si="2"/>
        <v>2.420157092211276</v>
      </c>
      <c r="X15" s="28">
        <f t="shared" si="2"/>
        <v>2.4421429280954245</v>
      </c>
      <c r="Y15" s="28">
        <f t="shared" si="2"/>
        <v>2.540841440403175</v>
      </c>
      <c r="Z15" s="28">
        <f t="shared" si="2"/>
        <v>2.5654487043641154</v>
      </c>
      <c r="AA15" s="28">
        <f t="shared" si="2"/>
        <v>2.5907941862438832</v>
      </c>
      <c r="AB15" s="28">
        <f t="shared" si="2"/>
        <v>2.6454775867812774</v>
      </c>
      <c r="AC15" s="28">
        <f t="shared" si="2"/>
        <v>2.67286711285893</v>
      </c>
      <c r="AD15" s="28">
        <f t="shared" si="2"/>
        <v>2.7047775219732357</v>
      </c>
      <c r="AE15" s="28">
        <f t="shared" si="2"/>
        <v>2.7339014433223183</v>
      </c>
    </row>
    <row r="16" spans="3:31" s="1" customFormat="1" ht="12.75">
      <c r="C16" s="20" t="s">
        <v>409</v>
      </c>
      <c r="D16" s="20" t="str">
        <f>D15</f>
        <v>Rs./ Kwh</v>
      </c>
      <c r="E16" s="28">
        <f>SUM(G13:AE13)*cr/SUM(G14:AE14)</f>
        <v>2.4516281595053977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8" ht="12.75">
      <c r="C18" s="1" t="s">
        <v>410</v>
      </c>
    </row>
    <row r="20" spans="3:31" ht="12.75">
      <c r="C20" s="59" t="s">
        <v>1</v>
      </c>
      <c r="D20" s="59" t="s">
        <v>2</v>
      </c>
      <c r="E20" s="60">
        <f>E4</f>
        <v>44651</v>
      </c>
      <c r="F20" s="60">
        <f aca="true" t="shared" si="3" ref="F20:AE20">F4</f>
        <v>45016</v>
      </c>
      <c r="G20" s="60">
        <f t="shared" si="3"/>
        <v>45382</v>
      </c>
      <c r="H20" s="60">
        <f t="shared" si="3"/>
        <v>45747</v>
      </c>
      <c r="I20" s="60">
        <f t="shared" si="3"/>
        <v>46112</v>
      </c>
      <c r="J20" s="60">
        <f t="shared" si="3"/>
        <v>46477</v>
      </c>
      <c r="K20" s="60">
        <f t="shared" si="3"/>
        <v>46843</v>
      </c>
      <c r="L20" s="60">
        <f t="shared" si="3"/>
        <v>47208</v>
      </c>
      <c r="M20" s="60">
        <f t="shared" si="3"/>
        <v>47573</v>
      </c>
      <c r="N20" s="60">
        <f t="shared" si="3"/>
        <v>47938</v>
      </c>
      <c r="O20" s="60">
        <f t="shared" si="3"/>
        <v>48304</v>
      </c>
      <c r="P20" s="60">
        <f t="shared" si="3"/>
        <v>48669</v>
      </c>
      <c r="Q20" s="60">
        <f t="shared" si="3"/>
        <v>49034</v>
      </c>
      <c r="R20" s="60">
        <f t="shared" si="3"/>
        <v>49399</v>
      </c>
      <c r="S20" s="60">
        <f t="shared" si="3"/>
        <v>49765</v>
      </c>
      <c r="T20" s="60">
        <f t="shared" si="3"/>
        <v>50130</v>
      </c>
      <c r="U20" s="60">
        <f t="shared" si="3"/>
        <v>50495</v>
      </c>
      <c r="V20" s="60">
        <f t="shared" si="3"/>
        <v>50860</v>
      </c>
      <c r="W20" s="60">
        <f t="shared" si="3"/>
        <v>51226</v>
      </c>
      <c r="X20" s="60">
        <f t="shared" si="3"/>
        <v>51591</v>
      </c>
      <c r="Y20" s="60">
        <f t="shared" si="3"/>
        <v>51956</v>
      </c>
      <c r="Z20" s="60">
        <f t="shared" si="3"/>
        <v>52321</v>
      </c>
      <c r="AA20" s="60">
        <f t="shared" si="3"/>
        <v>52687</v>
      </c>
      <c r="AB20" s="60">
        <f t="shared" si="3"/>
        <v>53052</v>
      </c>
      <c r="AC20" s="60">
        <f t="shared" si="3"/>
        <v>53417</v>
      </c>
      <c r="AD20" s="60">
        <f t="shared" si="3"/>
        <v>53782</v>
      </c>
      <c r="AE20" s="60">
        <f t="shared" si="3"/>
        <v>54148</v>
      </c>
    </row>
    <row r="21" spans="3:31" ht="12.75">
      <c r="C21" s="20" t="s">
        <v>48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3:31" ht="12.75">
      <c r="C22" s="5" t="s">
        <v>237</v>
      </c>
      <c r="D22" s="5" t="s">
        <v>397</v>
      </c>
      <c r="E22" s="14">
        <f>'P&amp;L'!E8</f>
        <v>0</v>
      </c>
      <c r="F22" s="14">
        <f>'P&amp;L'!F8</f>
        <v>0</v>
      </c>
      <c r="G22" s="14">
        <f>'P&amp;L'!G8</f>
        <v>14.1912</v>
      </c>
      <c r="H22" s="14">
        <f>'P&amp;L'!H8</f>
        <v>15.13728</v>
      </c>
      <c r="I22" s="14">
        <f>'P&amp;L'!I8</f>
        <v>16.083360000000003</v>
      </c>
      <c r="J22" s="14">
        <f>'P&amp;L'!J8</f>
        <v>17.029440000000005</v>
      </c>
      <c r="K22" s="14">
        <f>'P&amp;L'!K8</f>
        <v>17.02944</v>
      </c>
      <c r="L22" s="14">
        <f>'P&amp;L'!L8</f>
        <v>17.02944</v>
      </c>
      <c r="M22" s="14">
        <f>'P&amp;L'!M8</f>
        <v>17.02944</v>
      </c>
      <c r="N22" s="14">
        <f>'P&amp;L'!N8</f>
        <v>17.02944</v>
      </c>
      <c r="O22" s="14">
        <f>'P&amp;L'!O8</f>
        <v>17.02944</v>
      </c>
      <c r="P22" s="14">
        <f>'P&amp;L'!P8</f>
        <v>17.02944</v>
      </c>
      <c r="Q22" s="14">
        <f>'P&amp;L'!Q8</f>
        <v>17.02944</v>
      </c>
      <c r="R22" s="14">
        <f>'P&amp;L'!R8</f>
        <v>17.02944</v>
      </c>
      <c r="S22" s="14">
        <f>'P&amp;L'!S8</f>
        <v>17.02944</v>
      </c>
      <c r="T22" s="14">
        <f>'P&amp;L'!T8</f>
        <v>17.02944</v>
      </c>
      <c r="U22" s="14">
        <f>'P&amp;L'!U8</f>
        <v>17.02944</v>
      </c>
      <c r="V22" s="14">
        <f>'P&amp;L'!V8</f>
        <v>17.02944</v>
      </c>
      <c r="W22" s="14">
        <f>'P&amp;L'!W8</f>
        <v>17.02944</v>
      </c>
      <c r="X22" s="14">
        <f>'P&amp;L'!X8</f>
        <v>17.02944</v>
      </c>
      <c r="Y22" s="14">
        <f>'P&amp;L'!Y8</f>
        <v>17.02944</v>
      </c>
      <c r="Z22" s="14">
        <f>'P&amp;L'!Z8</f>
        <v>17.02944</v>
      </c>
      <c r="AA22" s="14">
        <f>'P&amp;L'!AA8</f>
        <v>17.02944</v>
      </c>
      <c r="AB22" s="14">
        <f>'P&amp;L'!AB8</f>
        <v>17.02944</v>
      </c>
      <c r="AC22" s="14">
        <f>'P&amp;L'!AC8</f>
        <v>17.02944</v>
      </c>
      <c r="AD22" s="14">
        <f>'P&amp;L'!AD8</f>
        <v>17.02944</v>
      </c>
      <c r="AE22" s="14">
        <f>'P&amp;L'!AE8</f>
        <v>17.02944</v>
      </c>
    </row>
    <row r="23" spans="3:31" ht="12.75">
      <c r="C23" s="5" t="s">
        <v>411</v>
      </c>
      <c r="D23" s="5" t="str">
        <f>D22</f>
        <v>Rs. Crore</v>
      </c>
      <c r="E23" s="14">
        <f>'P&amp;L'!E9</f>
        <v>0</v>
      </c>
      <c r="F23" s="14">
        <f>'P&amp;L'!F9</f>
        <v>0</v>
      </c>
      <c r="G23" s="14">
        <f>'P&amp;L'!G9</f>
        <v>1.597242657321426</v>
      </c>
      <c r="H23" s="14">
        <f>'P&amp;L'!H9</f>
        <v>1.6451599370410688</v>
      </c>
      <c r="I23" s="14">
        <f>'P&amp;L'!I9</f>
        <v>1.6945147351523009</v>
      </c>
      <c r="J23" s="14">
        <f>'P&amp;L'!J9</f>
        <v>1.81419197820687</v>
      </c>
      <c r="K23" s="14">
        <f>'P&amp;L'!K9</f>
        <v>1.8686177375530761</v>
      </c>
      <c r="L23" s="14">
        <f>'P&amp;L'!L9</f>
        <v>1.9246762696796689</v>
      </c>
      <c r="M23" s="14">
        <f>'P&amp;L'!M9</f>
        <v>2.107792048905604</v>
      </c>
      <c r="N23" s="14">
        <f>'P&amp;L'!N9</f>
        <v>2.171025810372772</v>
      </c>
      <c r="O23" s="14">
        <f>'P&amp;L'!O9</f>
        <v>2.239956894928118</v>
      </c>
      <c r="P23" s="14">
        <f>'P&amp;L'!P9</f>
        <v>2.4637283838354707</v>
      </c>
      <c r="Q23" s="14">
        <f>'P&amp;L'!Q9</f>
        <v>2.537640235350535</v>
      </c>
      <c r="R23" s="14">
        <f>'P&amp;L'!R9</f>
        <v>2.613769442411051</v>
      </c>
      <c r="S23" s="14">
        <f>'P&amp;L'!S9</f>
        <v>2.841887418802232</v>
      </c>
      <c r="T23" s="14">
        <f>'P&amp;L'!T9</f>
        <v>2.938158044217185</v>
      </c>
      <c r="U23" s="14">
        <f>'P&amp;L'!U9</f>
        <v>3.026302785543701</v>
      </c>
      <c r="V23" s="14">
        <f>'P&amp;L'!V9</f>
        <v>3.2105699141060584</v>
      </c>
      <c r="W23" s="14">
        <f>'P&amp;L'!W9</f>
        <v>3.30688701152924</v>
      </c>
      <c r="X23" s="14">
        <f>'P&amp;L'!X9</f>
        <v>3.4060936218751174</v>
      </c>
      <c r="Y23" s="14">
        <f>'P&amp;L'!Y9</f>
        <v>3.794285184819675</v>
      </c>
      <c r="Z23" s="14">
        <f>'P&amp;L'!Z9</f>
        <v>3.9081137403642656</v>
      </c>
      <c r="AA23" s="14">
        <f>'P&amp;L'!AA9</f>
        <v>4.025357152575194</v>
      </c>
      <c r="AB23" s="14">
        <f>'P&amp;L'!AB9</f>
        <v>4.25773554145502</v>
      </c>
      <c r="AC23" s="14">
        <f>'P&amp;L'!AC9</f>
        <v>4.38546760769867</v>
      </c>
      <c r="AD23" s="14">
        <f>'P&amp;L'!AD9</f>
        <v>4.53183353476308</v>
      </c>
      <c r="AE23" s="14">
        <f>'P&amp;L'!AE9</f>
        <v>4.667788540805972</v>
      </c>
    </row>
    <row r="24" spans="3:31" ht="12.75">
      <c r="C24" s="5" t="s">
        <v>330</v>
      </c>
      <c r="D24" s="5" t="str">
        <f>D23</f>
        <v>Rs. Crore</v>
      </c>
      <c r="E24" s="14">
        <f>'P&amp;L'!E10</f>
        <v>0</v>
      </c>
      <c r="F24" s="14">
        <f>'P&amp;L'!F10</f>
        <v>0</v>
      </c>
      <c r="G24" s="14">
        <f>'P&amp;L'!G10</f>
        <v>0.15365436274714261</v>
      </c>
      <c r="H24" s="14">
        <f>'P&amp;L'!H10</f>
        <v>0.1520119935550069</v>
      </c>
      <c r="I24" s="14">
        <f>'P&amp;L'!I10</f>
        <v>0.1501327932848706</v>
      </c>
      <c r="J24" s="14">
        <f>'P&amp;L'!J10</f>
        <v>0.15461284310032664</v>
      </c>
      <c r="K24" s="14">
        <f>'P&amp;L'!K10</f>
        <v>0.15213587088775363</v>
      </c>
      <c r="L24" s="14">
        <f>'P&amp;L'!L10</f>
        <v>0.14937112878363598</v>
      </c>
      <c r="M24" s="14">
        <f>'P&amp;L'!M10</f>
        <v>0.1583396270184846</v>
      </c>
      <c r="N24" s="14">
        <f>'P&amp;L'!N10</f>
        <v>0.15479812554455769</v>
      </c>
      <c r="O24" s="14">
        <f>'P&amp;L'!O10</f>
        <v>0.15126645810131822</v>
      </c>
      <c r="P24" s="14">
        <f>'P&amp;L'!P10</f>
        <v>0.1620231274210584</v>
      </c>
      <c r="Q24" s="14">
        <f>'P&amp;L'!Q10</f>
        <v>0.1571620605355623</v>
      </c>
      <c r="R24" s="14">
        <f>'P&amp;L'!R10</f>
        <v>0.1518635088222575</v>
      </c>
      <c r="S24" s="14">
        <f>'P&amp;L'!S10</f>
        <v>0.16047726789108185</v>
      </c>
      <c r="T24" s="14">
        <f>'P&amp;L'!T10</f>
        <v>0.15510891562853937</v>
      </c>
      <c r="U24" s="14">
        <f>'P&amp;L'!U10</f>
        <v>0.14813959039550106</v>
      </c>
      <c r="V24" s="14">
        <f>'P&amp;L'!V10</f>
        <v>0.1495863999440351</v>
      </c>
      <c r="W24" s="14">
        <f>'P&amp;L'!W10</f>
        <v>0.14135845379953257</v>
      </c>
      <c r="X24" s="14">
        <f>'P&amp;L'!X10</f>
        <v>0.13250220312641023</v>
      </c>
      <c r="Y24" s="14">
        <f>'P&amp;L'!Y10</f>
        <v>0.15044419521615815</v>
      </c>
      <c r="Z24" s="14">
        <f>'P&amp;L'!Z10</f>
        <v>0.13988455315678186</v>
      </c>
      <c r="AA24" s="14">
        <f>'P&amp;L'!AA10</f>
        <v>0.12855593279814845</v>
      </c>
      <c r="AB24" s="14">
        <f>'P&amp;L'!AB10</f>
        <v>0.12713699585320262</v>
      </c>
      <c r="AC24" s="14">
        <f>'P&amp;L'!AC10</f>
        <v>0.11402060189887706</v>
      </c>
      <c r="AD24" s="14">
        <f>'P&amp;L'!AD10</f>
        <v>0.1014237832990352</v>
      </c>
      <c r="AE24" s="14">
        <f>'P&amp;L'!AE10</f>
        <v>0.08644394146164855</v>
      </c>
    </row>
    <row r="25" spans="3:31" ht="12.75">
      <c r="C25" s="5" t="s">
        <v>270</v>
      </c>
      <c r="D25" s="5" t="str">
        <f>D24</f>
        <v>Rs. Crore</v>
      </c>
      <c r="E25" s="14">
        <f>'P&amp;L'!E11</f>
        <v>0</v>
      </c>
      <c r="F25" s="14">
        <f>'P&amp;L'!F11</f>
        <v>0</v>
      </c>
      <c r="G25" s="14">
        <f>'P&amp;L'!G11</f>
        <v>2.1823189171875</v>
      </c>
      <c r="H25" s="14">
        <f>'P&amp;L'!H11</f>
        <v>2.4441971872500003</v>
      </c>
      <c r="I25" s="14">
        <f>'P&amp;L'!I11</f>
        <v>2.7268074870257824</v>
      </c>
      <c r="J25" s="14">
        <f>'P&amp;L'!J11</f>
        <v>3.031568323811017</v>
      </c>
      <c r="K25" s="14">
        <f>'P&amp;L'!K11</f>
        <v>3.1831467400015665</v>
      </c>
      <c r="L25" s="14">
        <f>'P&amp;L'!L11</f>
        <v>3.3423040770016454</v>
      </c>
      <c r="M25" s="14">
        <f>'P&amp;L'!M11</f>
        <v>3.509419280851728</v>
      </c>
      <c r="N25" s="14">
        <f>'P&amp;L'!N11</f>
        <v>3.6848902448943144</v>
      </c>
      <c r="O25" s="14">
        <f>'P&amp;L'!O11</f>
        <v>3.86913475713903</v>
      </c>
      <c r="P25" s="14">
        <f>'P&amp;L'!P11</f>
        <v>3.86913475713903</v>
      </c>
      <c r="Q25" s="14">
        <f>'P&amp;L'!Q11</f>
        <v>3.86913475713903</v>
      </c>
      <c r="R25" s="14">
        <f>'P&amp;L'!R11</f>
        <v>3.86913475713903</v>
      </c>
      <c r="S25" s="14">
        <f>'P&amp;L'!S11</f>
        <v>3.86913475713903</v>
      </c>
      <c r="T25" s="14">
        <f>'P&amp;L'!T11</f>
        <v>3.86913475713903</v>
      </c>
      <c r="U25" s="14">
        <f>'P&amp;L'!U11</f>
        <v>3.86913475713903</v>
      </c>
      <c r="V25" s="14">
        <f>'P&amp;L'!V11</f>
        <v>3.86913475713903</v>
      </c>
      <c r="W25" s="14">
        <f>'P&amp;L'!W11</f>
        <v>3.86913475713903</v>
      </c>
      <c r="X25" s="14">
        <f>'P&amp;L'!X11</f>
        <v>3.86913475713903</v>
      </c>
      <c r="Y25" s="14">
        <f>'P&amp;L'!Y11</f>
        <v>3.86913475713903</v>
      </c>
      <c r="Z25" s="14">
        <f>'P&amp;L'!Z11</f>
        <v>3.86913475713903</v>
      </c>
      <c r="AA25" s="14">
        <f>'P&amp;L'!AA11</f>
        <v>3.86913475713903</v>
      </c>
      <c r="AB25" s="14">
        <f>'P&amp;L'!AB11</f>
        <v>3.86913475713903</v>
      </c>
      <c r="AC25" s="14">
        <f>'P&amp;L'!AC11</f>
        <v>3.86913475713903</v>
      </c>
      <c r="AD25" s="14">
        <f>'P&amp;L'!AD11</f>
        <v>3.86913475713903</v>
      </c>
      <c r="AE25" s="14">
        <f>'P&amp;L'!AE11</f>
        <v>3.86913475713903</v>
      </c>
    </row>
    <row r="26" spans="3:31" ht="12.75">
      <c r="C26" s="20" t="s">
        <v>84</v>
      </c>
      <c r="D26" s="20" t="str">
        <f>D25</f>
        <v>Rs. Crore</v>
      </c>
      <c r="E26" s="28">
        <f aca="true" t="shared" si="4" ref="E26:AE26">SUM(E22:E25)</f>
        <v>0</v>
      </c>
      <c r="F26" s="28">
        <f t="shared" si="4"/>
        <v>0</v>
      </c>
      <c r="G26" s="28">
        <f t="shared" si="4"/>
        <v>18.124415937256067</v>
      </c>
      <c r="H26" s="28">
        <f t="shared" si="4"/>
        <v>19.378649117846077</v>
      </c>
      <c r="I26" s="28">
        <f t="shared" si="4"/>
        <v>20.654815015462958</v>
      </c>
      <c r="J26" s="28">
        <f t="shared" si="4"/>
        <v>22.02981314511822</v>
      </c>
      <c r="K26" s="28">
        <f t="shared" si="4"/>
        <v>22.233340348442397</v>
      </c>
      <c r="L26" s="28">
        <f t="shared" si="4"/>
        <v>22.44579147546495</v>
      </c>
      <c r="M26" s="28">
        <f t="shared" si="4"/>
        <v>22.804990956775818</v>
      </c>
      <c r="N26" s="28">
        <f t="shared" si="4"/>
        <v>23.040154180811648</v>
      </c>
      <c r="O26" s="28">
        <f t="shared" si="4"/>
        <v>23.289798110168466</v>
      </c>
      <c r="P26" s="28">
        <f t="shared" si="4"/>
        <v>23.52432626839556</v>
      </c>
      <c r="Q26" s="28">
        <f t="shared" si="4"/>
        <v>23.59337705302513</v>
      </c>
      <c r="R26" s="28">
        <f t="shared" si="4"/>
        <v>23.664207708372338</v>
      </c>
      <c r="S26" s="28">
        <f t="shared" si="4"/>
        <v>23.900939443832343</v>
      </c>
      <c r="T26" s="28">
        <f t="shared" si="4"/>
        <v>23.991841716984755</v>
      </c>
      <c r="U26" s="28">
        <f t="shared" si="4"/>
        <v>24.073017133078235</v>
      </c>
      <c r="V26" s="28">
        <f t="shared" si="4"/>
        <v>24.258731071189125</v>
      </c>
      <c r="W26" s="28">
        <f t="shared" si="4"/>
        <v>24.346820222467805</v>
      </c>
      <c r="X26" s="28">
        <f t="shared" si="4"/>
        <v>24.43717058214056</v>
      </c>
      <c r="Y26" s="28">
        <f t="shared" si="4"/>
        <v>24.84330413717486</v>
      </c>
      <c r="Z26" s="28">
        <f t="shared" si="4"/>
        <v>24.946573050660078</v>
      </c>
      <c r="AA26" s="28">
        <f t="shared" si="4"/>
        <v>25.05248784251237</v>
      </c>
      <c r="AB26" s="28">
        <f t="shared" si="4"/>
        <v>25.283447294447253</v>
      </c>
      <c r="AC26" s="28">
        <f t="shared" si="4"/>
        <v>25.39806296673658</v>
      </c>
      <c r="AD26" s="28">
        <f t="shared" si="4"/>
        <v>25.531832075201148</v>
      </c>
      <c r="AE26" s="28">
        <f t="shared" si="4"/>
        <v>25.652807239406652</v>
      </c>
    </row>
    <row r="27" spans="3:31" ht="12.75">
      <c r="C27" s="5" t="s">
        <v>406</v>
      </c>
      <c r="D27" s="5" t="s">
        <v>12</v>
      </c>
      <c r="E27" s="14">
        <f aca="true" t="shared" si="5" ref="E27:AE27">E14</f>
        <v>0</v>
      </c>
      <c r="F27" s="14">
        <f t="shared" si="5"/>
        <v>0</v>
      </c>
      <c r="G27" s="7">
        <f t="shared" si="5"/>
        <v>56050312.49999999</v>
      </c>
      <c r="H27" s="7">
        <f t="shared" si="5"/>
        <v>59787000</v>
      </c>
      <c r="I27" s="7">
        <f t="shared" si="5"/>
        <v>63523687.500000015</v>
      </c>
      <c r="J27" s="7">
        <f t="shared" si="5"/>
        <v>67260375.00000001</v>
      </c>
      <c r="K27" s="7">
        <f t="shared" si="5"/>
        <v>67260375</v>
      </c>
      <c r="L27" s="7">
        <f t="shared" si="5"/>
        <v>67260375</v>
      </c>
      <c r="M27" s="7">
        <f t="shared" si="5"/>
        <v>67260375</v>
      </c>
      <c r="N27" s="7">
        <f t="shared" si="5"/>
        <v>67260375</v>
      </c>
      <c r="O27" s="7">
        <f t="shared" si="5"/>
        <v>67260375</v>
      </c>
      <c r="P27" s="7">
        <f t="shared" si="5"/>
        <v>67260375</v>
      </c>
      <c r="Q27" s="7">
        <f t="shared" si="5"/>
        <v>67260375</v>
      </c>
      <c r="R27" s="7">
        <f t="shared" si="5"/>
        <v>67260375</v>
      </c>
      <c r="S27" s="7">
        <f t="shared" si="5"/>
        <v>67260375</v>
      </c>
      <c r="T27" s="7">
        <f t="shared" si="5"/>
        <v>67260375</v>
      </c>
      <c r="U27" s="7">
        <f t="shared" si="5"/>
        <v>67260375</v>
      </c>
      <c r="V27" s="7">
        <f t="shared" si="5"/>
        <v>67260375</v>
      </c>
      <c r="W27" s="7">
        <f t="shared" si="5"/>
        <v>67260375</v>
      </c>
      <c r="X27" s="7">
        <f t="shared" si="5"/>
        <v>67260375</v>
      </c>
      <c r="Y27" s="7">
        <f t="shared" si="5"/>
        <v>67260375</v>
      </c>
      <c r="Z27" s="7">
        <f t="shared" si="5"/>
        <v>67260375</v>
      </c>
      <c r="AA27" s="7">
        <f t="shared" si="5"/>
        <v>67260375</v>
      </c>
      <c r="AB27" s="7">
        <f t="shared" si="5"/>
        <v>67260375</v>
      </c>
      <c r="AC27" s="7">
        <f t="shared" si="5"/>
        <v>67260375</v>
      </c>
      <c r="AD27" s="7">
        <f t="shared" si="5"/>
        <v>67260375</v>
      </c>
      <c r="AE27" s="7">
        <f t="shared" si="5"/>
        <v>67260375</v>
      </c>
    </row>
    <row r="28" spans="3:31" ht="12.75">
      <c r="C28" s="20" t="s">
        <v>412</v>
      </c>
      <c r="D28" s="20" t="s">
        <v>235</v>
      </c>
      <c r="E28" s="28">
        <f aca="true" t="shared" si="6" ref="E28:AE28">IF(E27&lt;=0,0,E26*cr/E27)</f>
        <v>0</v>
      </c>
      <c r="F28" s="28">
        <f t="shared" si="6"/>
        <v>0</v>
      </c>
      <c r="G28" s="28">
        <f t="shared" si="6"/>
        <v>3.2335976605404424</v>
      </c>
      <c r="H28" s="28">
        <f t="shared" si="6"/>
        <v>3.2412814019512735</v>
      </c>
      <c r="I28" s="28">
        <f t="shared" si="6"/>
        <v>3.2515138570101043</v>
      </c>
      <c r="J28" s="28">
        <f t="shared" si="6"/>
        <v>3.2753033483857643</v>
      </c>
      <c r="K28" s="28">
        <f t="shared" si="6"/>
        <v>3.30556294823548</v>
      </c>
      <c r="L28" s="28">
        <f t="shared" si="6"/>
        <v>3.3371493208988134</v>
      </c>
      <c r="M28" s="28">
        <f t="shared" si="6"/>
        <v>3.3905536442185786</v>
      </c>
      <c r="N28" s="28">
        <f t="shared" si="6"/>
        <v>3.425516759431039</v>
      </c>
      <c r="O28" s="28">
        <f t="shared" si="6"/>
        <v>3.46263280723137</v>
      </c>
      <c r="P28" s="28">
        <f t="shared" si="6"/>
        <v>3.497501503432825</v>
      </c>
      <c r="Q28" s="28">
        <f t="shared" si="6"/>
        <v>3.5077676942813847</v>
      </c>
      <c r="R28" s="28">
        <f t="shared" si="6"/>
        <v>3.5182985090957843</v>
      </c>
      <c r="S28" s="28">
        <f t="shared" si="6"/>
        <v>3.553494824230811</v>
      </c>
      <c r="T28" s="28">
        <f t="shared" si="6"/>
        <v>3.56700980584553</v>
      </c>
      <c r="U28" s="28">
        <f t="shared" si="6"/>
        <v>3.5790786377682604</v>
      </c>
      <c r="V28" s="28">
        <f t="shared" si="6"/>
        <v>3.606689833529641</v>
      </c>
      <c r="W28" s="28">
        <f t="shared" si="6"/>
        <v>3.6197865715836115</v>
      </c>
      <c r="X28" s="28">
        <f t="shared" si="6"/>
        <v>3.6332194969386595</v>
      </c>
      <c r="Y28" s="28">
        <f t="shared" si="6"/>
        <v>3.6936017881516214</v>
      </c>
      <c r="Z28" s="28">
        <f t="shared" si="6"/>
        <v>3.708955391738461</v>
      </c>
      <c r="AA28" s="28">
        <f t="shared" si="6"/>
        <v>3.72470237379919</v>
      </c>
      <c r="AB28" s="28">
        <f t="shared" si="6"/>
        <v>3.759040489210364</v>
      </c>
      <c r="AC28" s="28">
        <f t="shared" si="6"/>
        <v>3.776081082916439</v>
      </c>
      <c r="AD28" s="28">
        <f t="shared" si="6"/>
        <v>3.7959693318987813</v>
      </c>
      <c r="AE28" s="28">
        <f t="shared" si="6"/>
        <v>3.813955429092783</v>
      </c>
    </row>
    <row r="29" spans="3:31" ht="12.75">
      <c r="C29" s="20" t="s">
        <v>416</v>
      </c>
      <c r="D29" s="20" t="str">
        <f>D28</f>
        <v>Rs./ Kwh</v>
      </c>
      <c r="E29" s="28">
        <f>SUM(G26:AE26)*cr/SUM(G27:AE27)</f>
        <v>3.5350763323490364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2" spans="3:31" ht="12.75">
      <c r="C32" s="59" t="s">
        <v>1</v>
      </c>
      <c r="D32" s="59" t="s">
        <v>2</v>
      </c>
      <c r="E32" s="60">
        <f>E20</f>
        <v>44651</v>
      </c>
      <c r="F32" s="60">
        <f aca="true" t="shared" si="7" ref="F32:AE32">F20</f>
        <v>45016</v>
      </c>
      <c r="G32" s="60">
        <f t="shared" si="7"/>
        <v>45382</v>
      </c>
      <c r="H32" s="60">
        <f t="shared" si="7"/>
        <v>45747</v>
      </c>
      <c r="I32" s="60">
        <f t="shared" si="7"/>
        <v>46112</v>
      </c>
      <c r="J32" s="60">
        <f t="shared" si="7"/>
        <v>46477</v>
      </c>
      <c r="K32" s="60">
        <f t="shared" si="7"/>
        <v>46843</v>
      </c>
      <c r="L32" s="60">
        <f t="shared" si="7"/>
        <v>47208</v>
      </c>
      <c r="M32" s="60">
        <f t="shared" si="7"/>
        <v>47573</v>
      </c>
      <c r="N32" s="60">
        <f t="shared" si="7"/>
        <v>47938</v>
      </c>
      <c r="O32" s="60">
        <f t="shared" si="7"/>
        <v>48304</v>
      </c>
      <c r="P32" s="60">
        <f t="shared" si="7"/>
        <v>48669</v>
      </c>
      <c r="Q32" s="60">
        <f t="shared" si="7"/>
        <v>49034</v>
      </c>
      <c r="R32" s="60">
        <f t="shared" si="7"/>
        <v>49399</v>
      </c>
      <c r="S32" s="60">
        <f t="shared" si="7"/>
        <v>49765</v>
      </c>
      <c r="T32" s="60">
        <f t="shared" si="7"/>
        <v>50130</v>
      </c>
      <c r="U32" s="60">
        <f t="shared" si="7"/>
        <v>50495</v>
      </c>
      <c r="V32" s="60">
        <f t="shared" si="7"/>
        <v>50860</v>
      </c>
      <c r="W32" s="60">
        <f t="shared" si="7"/>
        <v>51226</v>
      </c>
      <c r="X32" s="60">
        <f t="shared" si="7"/>
        <v>51591</v>
      </c>
      <c r="Y32" s="60">
        <f t="shared" si="7"/>
        <v>51956</v>
      </c>
      <c r="Z32" s="60">
        <f t="shared" si="7"/>
        <v>52321</v>
      </c>
      <c r="AA32" s="60">
        <f t="shared" si="7"/>
        <v>52687</v>
      </c>
      <c r="AB32" s="60">
        <f t="shared" si="7"/>
        <v>53052</v>
      </c>
      <c r="AC32" s="60">
        <f t="shared" si="7"/>
        <v>53417</v>
      </c>
      <c r="AD32" s="60">
        <f t="shared" si="7"/>
        <v>53782</v>
      </c>
      <c r="AE32" s="60">
        <f t="shared" si="7"/>
        <v>54148</v>
      </c>
    </row>
    <row r="33" spans="3:31" ht="12.75">
      <c r="C33" s="26" t="s">
        <v>418</v>
      </c>
      <c r="D33" s="5"/>
      <c r="E33" s="141">
        <f>E28+E15</f>
        <v>0</v>
      </c>
      <c r="F33" s="141">
        <f aca="true" t="shared" si="8" ref="F33:AE33">F28+F15</f>
        <v>0</v>
      </c>
      <c r="G33" s="141">
        <f t="shared" si="8"/>
        <v>5.303888663563328</v>
      </c>
      <c r="H33" s="141">
        <f t="shared" si="8"/>
        <v>5.782271363334035</v>
      </c>
      <c r="I33" s="141">
        <f t="shared" si="8"/>
        <v>5.675074350238331</v>
      </c>
      <c r="J33" s="141">
        <f t="shared" si="8"/>
        <v>5.67808653438668</v>
      </c>
      <c r="K33" s="141">
        <f t="shared" si="8"/>
        <v>5.745388746442213</v>
      </c>
      <c r="L33" s="141">
        <f t="shared" si="8"/>
        <v>5.819486647945281</v>
      </c>
      <c r="M33" s="141">
        <f t="shared" si="8"/>
        <v>5.910335605634705</v>
      </c>
      <c r="N33" s="141">
        <f t="shared" si="8"/>
        <v>5.8662272127368675</v>
      </c>
      <c r="O33" s="141">
        <f t="shared" si="8"/>
        <v>5.825869365521219</v>
      </c>
      <c r="P33" s="141">
        <f t="shared" si="8"/>
        <v>5.829943458074993</v>
      </c>
      <c r="Q33" s="141">
        <f t="shared" si="8"/>
        <v>5.766324398603722</v>
      </c>
      <c r="R33" s="141">
        <f t="shared" si="8"/>
        <v>5.767880977823188</v>
      </c>
      <c r="S33" s="141">
        <f t="shared" si="8"/>
        <v>5.864162756586697</v>
      </c>
      <c r="T33" s="141">
        <f t="shared" si="8"/>
        <v>5.899913345313217</v>
      </c>
      <c r="U33" s="141">
        <f t="shared" si="8"/>
        <v>5.931707228812417</v>
      </c>
      <c r="V33" s="141">
        <f t="shared" si="8"/>
        <v>6.0055014540087335</v>
      </c>
      <c r="W33" s="141">
        <f t="shared" si="8"/>
        <v>6.039943663794888</v>
      </c>
      <c r="X33" s="141">
        <f t="shared" si="8"/>
        <v>6.0753624250340845</v>
      </c>
      <c r="Y33" s="141">
        <f t="shared" si="8"/>
        <v>6.234443228554797</v>
      </c>
      <c r="Z33" s="141">
        <f t="shared" si="8"/>
        <v>6.274404096102576</v>
      </c>
      <c r="AA33" s="141">
        <f t="shared" si="8"/>
        <v>6.315496560043073</v>
      </c>
      <c r="AB33" s="141">
        <f t="shared" si="8"/>
        <v>6.404518075991641</v>
      </c>
      <c r="AC33" s="141">
        <f t="shared" si="8"/>
        <v>6.448948195775369</v>
      </c>
      <c r="AD33" s="141">
        <f t="shared" si="8"/>
        <v>6.500746853872017</v>
      </c>
      <c r="AE33" s="141">
        <f t="shared" si="8"/>
        <v>6.547856872415101</v>
      </c>
    </row>
    <row r="34" spans="3:31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3:31" ht="12.75">
      <c r="C35" s="16" t="s">
        <v>417</v>
      </c>
      <c r="D35" s="20" t="str">
        <f>D29</f>
        <v>Rs./ Kwh</v>
      </c>
      <c r="E35" s="136">
        <f>E29+E16</f>
        <v>5.986704491854434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E30"/>
  <sheetViews>
    <sheetView zoomScalePageLayoutView="0" workbookViewId="0" topLeftCell="A1">
      <selection activeCell="E1" sqref="E1"/>
    </sheetView>
  </sheetViews>
  <sheetFormatPr defaultColWidth="9.140625" defaultRowHeight="12.75"/>
  <cols>
    <col min="3" max="3" width="33.140625" style="0" bestFit="1" customWidth="1"/>
    <col min="5" max="5" width="9.7109375" style="0" bestFit="1" customWidth="1"/>
    <col min="6" max="6" width="9.8515625" style="0" bestFit="1" customWidth="1"/>
    <col min="7" max="31" width="11.28125" style="0" bestFit="1" customWidth="1"/>
  </cols>
  <sheetData>
    <row r="2" ht="12.75">
      <c r="C2" s="1" t="s">
        <v>237</v>
      </c>
    </row>
    <row r="4" spans="3:31" s="2" customFormat="1" ht="12.75">
      <c r="C4" s="59" t="s">
        <v>1</v>
      </c>
      <c r="D4" s="59" t="s">
        <v>2</v>
      </c>
      <c r="E4" s="60">
        <f>Input!E4</f>
        <v>44651</v>
      </c>
      <c r="F4" s="60">
        <f>Input!F4</f>
        <v>45016</v>
      </c>
      <c r="G4" s="60">
        <f>Input!G4</f>
        <v>45382</v>
      </c>
      <c r="H4" s="60">
        <f>Input!H4</f>
        <v>45747</v>
      </c>
      <c r="I4" s="60">
        <f>Input!I4</f>
        <v>46112</v>
      </c>
      <c r="J4" s="60">
        <f>Input!J4</f>
        <v>46477</v>
      </c>
      <c r="K4" s="60">
        <f>Input!K4</f>
        <v>46843</v>
      </c>
      <c r="L4" s="60">
        <f>Input!L4</f>
        <v>47208</v>
      </c>
      <c r="M4" s="60">
        <f>Input!M4</f>
        <v>47573</v>
      </c>
      <c r="N4" s="60">
        <f>Input!N4</f>
        <v>47938</v>
      </c>
      <c r="O4" s="60">
        <f>Input!O4</f>
        <v>48304</v>
      </c>
      <c r="P4" s="60">
        <f>Input!P4</f>
        <v>48669</v>
      </c>
      <c r="Q4" s="60">
        <f>Input!Q4</f>
        <v>49034</v>
      </c>
      <c r="R4" s="60">
        <f>Input!R4</f>
        <v>49399</v>
      </c>
      <c r="S4" s="60">
        <f>Input!S4</f>
        <v>49765</v>
      </c>
      <c r="T4" s="60">
        <f>Input!T4</f>
        <v>50130</v>
      </c>
      <c r="U4" s="60">
        <f>Input!U4</f>
        <v>50495</v>
      </c>
      <c r="V4" s="60">
        <f>Input!V4</f>
        <v>50860</v>
      </c>
      <c r="W4" s="60">
        <f>Input!W4</f>
        <v>51226</v>
      </c>
      <c r="X4" s="60">
        <f>Input!X4</f>
        <v>51591</v>
      </c>
      <c r="Y4" s="60">
        <f>Input!Y4</f>
        <v>51956</v>
      </c>
      <c r="Z4" s="60">
        <f>Input!Z4</f>
        <v>52321</v>
      </c>
      <c r="AA4" s="60">
        <f>Input!AA4</f>
        <v>52687</v>
      </c>
      <c r="AB4" s="60">
        <f>Input!AB4</f>
        <v>53052</v>
      </c>
      <c r="AC4" s="60">
        <f>Input!AC4</f>
        <v>53417</v>
      </c>
      <c r="AD4" s="60">
        <f>Input!AD4</f>
        <v>53782</v>
      </c>
      <c r="AE4" s="60">
        <f>Input!AE4</f>
        <v>54148</v>
      </c>
    </row>
    <row r="5" spans="3:31" ht="12.75">
      <c r="C5" s="20" t="s">
        <v>395</v>
      </c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3:31" ht="12.75">
      <c r="C6" s="5" t="s">
        <v>370</v>
      </c>
      <c r="D6" s="5" t="s">
        <v>248</v>
      </c>
      <c r="E6" s="7">
        <f>Input!E47</f>
        <v>0</v>
      </c>
      <c r="F6" s="7">
        <f>Input!F47</f>
        <v>0</v>
      </c>
      <c r="G6" s="7">
        <f>Input!G47</f>
        <v>78840</v>
      </c>
      <c r="H6" s="7">
        <f>Input!H47</f>
        <v>84096</v>
      </c>
      <c r="I6" s="7">
        <f>Input!I47</f>
        <v>89352.00000000001</v>
      </c>
      <c r="J6" s="7">
        <f>Input!J47</f>
        <v>94608.00000000001</v>
      </c>
      <c r="K6" s="7">
        <f>Input!K47</f>
        <v>94608</v>
      </c>
      <c r="L6" s="7">
        <f>Input!L47</f>
        <v>94608</v>
      </c>
      <c r="M6" s="7">
        <f>Input!M47</f>
        <v>94608</v>
      </c>
      <c r="N6" s="7">
        <f>Input!N47</f>
        <v>94608</v>
      </c>
      <c r="O6" s="7">
        <f>Input!O47</f>
        <v>94608</v>
      </c>
      <c r="P6" s="7">
        <f>Input!P47</f>
        <v>94608</v>
      </c>
      <c r="Q6" s="7">
        <f>Input!Q47</f>
        <v>94608</v>
      </c>
      <c r="R6" s="7">
        <f>Input!R47</f>
        <v>94608</v>
      </c>
      <c r="S6" s="7">
        <f>Input!S47</f>
        <v>94608</v>
      </c>
      <c r="T6" s="7">
        <f>Input!T47</f>
        <v>94608</v>
      </c>
      <c r="U6" s="7">
        <f>Input!U47</f>
        <v>94608</v>
      </c>
      <c r="V6" s="7">
        <f>Input!V47</f>
        <v>94608</v>
      </c>
      <c r="W6" s="7">
        <f>Input!W47</f>
        <v>94608</v>
      </c>
      <c r="X6" s="7">
        <f>Input!X47</f>
        <v>94608</v>
      </c>
      <c r="Y6" s="7">
        <f>Input!Y47</f>
        <v>94608</v>
      </c>
      <c r="Z6" s="7">
        <f>Input!Z47</f>
        <v>94608</v>
      </c>
      <c r="AA6" s="7">
        <f>Input!AA47</f>
        <v>94608</v>
      </c>
      <c r="AB6" s="7">
        <f>Input!AB47</f>
        <v>94608</v>
      </c>
      <c r="AC6" s="7">
        <f>Input!AC47</f>
        <v>94608</v>
      </c>
      <c r="AD6" s="7">
        <f>Input!AD47</f>
        <v>94608</v>
      </c>
      <c r="AE6" s="7">
        <f>Input!AE47</f>
        <v>94608</v>
      </c>
    </row>
    <row r="7" spans="3:31" ht="12.75">
      <c r="C7" s="5" t="s">
        <v>371</v>
      </c>
      <c r="D7" s="5" t="s">
        <v>6</v>
      </c>
      <c r="E7" s="5">
        <f>ROUNDUP(Input!E6*Input!E8,0)</f>
        <v>0</v>
      </c>
      <c r="F7" s="5">
        <f>ROUNDUP(Input!F6*Input!F8,0)</f>
        <v>0</v>
      </c>
      <c r="G7" s="5">
        <f>ROUNDUP(Input!G6*Input!G8,0)</f>
        <v>274</v>
      </c>
      <c r="H7" s="5">
        <f>ROUNDUP(Input!H6*Input!H8,0)</f>
        <v>292</v>
      </c>
      <c r="I7" s="5">
        <f>ROUNDUP(Input!I6*Input!I8,0)</f>
        <v>311</v>
      </c>
      <c r="J7" s="5">
        <f>ROUNDUP(Input!J6*Input!J8,0)</f>
        <v>329</v>
      </c>
      <c r="K7" s="5">
        <f>ROUNDUP(Input!K6*Input!K8,0)</f>
        <v>329</v>
      </c>
      <c r="L7" s="5">
        <f>ROUNDUP(Input!L6*Input!L8,0)</f>
        <v>329</v>
      </c>
      <c r="M7" s="5">
        <f>ROUNDUP(Input!M6*Input!M8,0)</f>
        <v>329</v>
      </c>
      <c r="N7" s="5">
        <f>ROUNDUP(Input!N6*Input!N8,0)</f>
        <v>329</v>
      </c>
      <c r="O7" s="5">
        <f>ROUNDUP(Input!O6*Input!O8,0)</f>
        <v>329</v>
      </c>
      <c r="P7" s="5">
        <f>ROUNDUP(Input!P6*Input!P8,0)</f>
        <v>329</v>
      </c>
      <c r="Q7" s="5">
        <f>ROUNDUP(Input!Q6*Input!Q8,0)</f>
        <v>329</v>
      </c>
      <c r="R7" s="5">
        <f>ROUNDUP(Input!R6*Input!R8,0)</f>
        <v>329</v>
      </c>
      <c r="S7" s="5">
        <f>ROUNDUP(Input!S6*Input!S8,0)</f>
        <v>329</v>
      </c>
      <c r="T7" s="5">
        <f>ROUNDUP(Input!T6*Input!T8,0)</f>
        <v>329</v>
      </c>
      <c r="U7" s="5">
        <f>ROUNDUP(Input!U6*Input!U8,0)</f>
        <v>329</v>
      </c>
      <c r="V7" s="5">
        <f>ROUNDUP(Input!V6*Input!V8,0)</f>
        <v>329</v>
      </c>
      <c r="W7" s="5">
        <f>ROUNDUP(Input!W6*Input!W8,0)</f>
        <v>329</v>
      </c>
      <c r="X7" s="5">
        <f>ROUNDUP(Input!X6*Input!X8,0)</f>
        <v>329</v>
      </c>
      <c r="Y7" s="5">
        <f>ROUNDUP(Input!Y6*Input!Y8,0)</f>
        <v>329</v>
      </c>
      <c r="Z7" s="5">
        <f>ROUNDUP(Input!Z6*Input!Z8,0)</f>
        <v>329</v>
      </c>
      <c r="AA7" s="5">
        <f>ROUNDUP(Input!AA6*Input!AA8,0)</f>
        <v>329</v>
      </c>
      <c r="AB7" s="5">
        <f>ROUNDUP(Input!AB6*Input!AB8,0)</f>
        <v>329</v>
      </c>
      <c r="AC7" s="5">
        <f>ROUNDUP(Input!AC6*Input!AC8,0)</f>
        <v>329</v>
      </c>
      <c r="AD7" s="5">
        <f>ROUNDUP(Input!AD6*Input!AD8,0)</f>
        <v>329</v>
      </c>
      <c r="AE7" s="5">
        <f>ROUNDUP(Input!AE6*Input!AE8,0)</f>
        <v>329</v>
      </c>
    </row>
    <row r="8" spans="3:31" ht="12.75">
      <c r="C8" s="5" t="s">
        <v>372</v>
      </c>
      <c r="D8" s="5" t="s">
        <v>248</v>
      </c>
      <c r="E8" s="14">
        <f>IF(E6&lt;=0,0,E6/E7)</f>
        <v>0</v>
      </c>
      <c r="F8" s="14">
        <f aca="true" t="shared" si="0" ref="F8:X8">IF(F6&lt;=0,0,F6/F7)</f>
        <v>0</v>
      </c>
      <c r="G8" s="14">
        <f t="shared" si="0"/>
        <v>287.73722627737226</v>
      </c>
      <c r="H8" s="14">
        <f t="shared" si="0"/>
        <v>288</v>
      </c>
      <c r="I8" s="14">
        <f t="shared" si="0"/>
        <v>287.30546623794214</v>
      </c>
      <c r="J8" s="14">
        <f t="shared" si="0"/>
        <v>287.56231003039517</v>
      </c>
      <c r="K8" s="14">
        <f t="shared" si="0"/>
        <v>287.5623100303951</v>
      </c>
      <c r="L8" s="14">
        <f t="shared" si="0"/>
        <v>287.5623100303951</v>
      </c>
      <c r="M8" s="14">
        <f t="shared" si="0"/>
        <v>287.5623100303951</v>
      </c>
      <c r="N8" s="14">
        <f t="shared" si="0"/>
        <v>287.5623100303951</v>
      </c>
      <c r="O8" s="14">
        <f t="shared" si="0"/>
        <v>287.5623100303951</v>
      </c>
      <c r="P8" s="14">
        <f t="shared" si="0"/>
        <v>287.5623100303951</v>
      </c>
      <c r="Q8" s="14">
        <f t="shared" si="0"/>
        <v>287.5623100303951</v>
      </c>
      <c r="R8" s="14">
        <f t="shared" si="0"/>
        <v>287.5623100303951</v>
      </c>
      <c r="S8" s="14">
        <f t="shared" si="0"/>
        <v>287.5623100303951</v>
      </c>
      <c r="T8" s="14">
        <f t="shared" si="0"/>
        <v>287.5623100303951</v>
      </c>
      <c r="U8" s="14">
        <f t="shared" si="0"/>
        <v>287.5623100303951</v>
      </c>
      <c r="V8" s="14">
        <f t="shared" si="0"/>
        <v>287.5623100303951</v>
      </c>
      <c r="W8" s="14">
        <f t="shared" si="0"/>
        <v>287.5623100303951</v>
      </c>
      <c r="X8" s="14">
        <f t="shared" si="0"/>
        <v>287.5623100303951</v>
      </c>
      <c r="Y8" s="14">
        <f>IF(Y6&lt;=0,0,Y6/Y7)</f>
        <v>287.5623100303951</v>
      </c>
      <c r="Z8" s="14">
        <f>IF(Z6&lt;=0,0,Z6/Z7)</f>
        <v>287.5623100303951</v>
      </c>
      <c r="AA8" s="14">
        <f>IF(AA6&lt;=0,0,AA6/AA7)</f>
        <v>287.5623100303951</v>
      </c>
      <c r="AB8" s="14">
        <f>IF(AB6&lt;=0,0,AB6/AB7)</f>
        <v>287.5623100303951</v>
      </c>
      <c r="AC8" s="14">
        <f>IF(AC6&lt;=0,0,AC6/AC7)</f>
        <v>287.5623100303951</v>
      </c>
      <c r="AD8" s="14">
        <f>IF(AD6&lt;=0,0,AD6/AD7)</f>
        <v>287.5623100303951</v>
      </c>
      <c r="AE8" s="14">
        <f>IF(AE6&lt;=0,0,AE6/AE7)</f>
        <v>287.5623100303951</v>
      </c>
    </row>
    <row r="9" spans="3:31" ht="12.7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3:31" ht="12.75">
      <c r="C10" s="5" t="s">
        <v>373</v>
      </c>
      <c r="D10" s="5" t="s">
        <v>374</v>
      </c>
      <c r="E10" s="5"/>
      <c r="F10" s="5"/>
      <c r="G10" s="5">
        <v>1000</v>
      </c>
      <c r="H10" s="5">
        <f>G10</f>
        <v>1000</v>
      </c>
      <c r="I10" s="5">
        <f aca="true" t="shared" si="1" ref="I10:X10">H10</f>
        <v>1000</v>
      </c>
      <c r="J10" s="5">
        <f t="shared" si="1"/>
        <v>1000</v>
      </c>
      <c r="K10" s="5">
        <f t="shared" si="1"/>
        <v>1000</v>
      </c>
      <c r="L10" s="5">
        <f t="shared" si="1"/>
        <v>1000</v>
      </c>
      <c r="M10" s="5">
        <f t="shared" si="1"/>
        <v>1000</v>
      </c>
      <c r="N10" s="5">
        <f t="shared" si="1"/>
        <v>1000</v>
      </c>
      <c r="O10" s="5">
        <f t="shared" si="1"/>
        <v>1000</v>
      </c>
      <c r="P10" s="5">
        <f t="shared" si="1"/>
        <v>1000</v>
      </c>
      <c r="Q10" s="5">
        <f t="shared" si="1"/>
        <v>1000</v>
      </c>
      <c r="R10" s="5">
        <f t="shared" si="1"/>
        <v>1000</v>
      </c>
      <c r="S10" s="5">
        <f t="shared" si="1"/>
        <v>1000</v>
      </c>
      <c r="T10" s="5">
        <f t="shared" si="1"/>
        <v>1000</v>
      </c>
      <c r="U10" s="5">
        <f t="shared" si="1"/>
        <v>1000</v>
      </c>
      <c r="V10" s="5">
        <f t="shared" si="1"/>
        <v>1000</v>
      </c>
      <c r="W10" s="5">
        <f t="shared" si="1"/>
        <v>1000</v>
      </c>
      <c r="X10" s="5">
        <f t="shared" si="1"/>
        <v>1000</v>
      </c>
      <c r="Y10" s="5">
        <f aca="true" t="shared" si="2" ref="Y10:AE10">X10</f>
        <v>1000</v>
      </c>
      <c r="Z10" s="5">
        <f t="shared" si="2"/>
        <v>1000</v>
      </c>
      <c r="AA10" s="5">
        <f t="shared" si="2"/>
        <v>1000</v>
      </c>
      <c r="AB10" s="5">
        <f t="shared" si="2"/>
        <v>1000</v>
      </c>
      <c r="AC10" s="5">
        <f t="shared" si="2"/>
        <v>1000</v>
      </c>
      <c r="AD10" s="5">
        <f t="shared" si="2"/>
        <v>1000</v>
      </c>
      <c r="AE10" s="5">
        <f t="shared" si="2"/>
        <v>1000</v>
      </c>
    </row>
    <row r="11" spans="3:31" ht="12.75">
      <c r="C11" s="5" t="s">
        <v>375</v>
      </c>
      <c r="D11" s="5" t="s">
        <v>348</v>
      </c>
      <c r="E11" s="5"/>
      <c r="F11" s="5"/>
      <c r="G11" s="135">
        <f>G8*1000/G10</f>
        <v>287.73722627737226</v>
      </c>
      <c r="H11" s="135">
        <f aca="true" t="shared" si="3" ref="H11:X11">H8*1000/H10</f>
        <v>288</v>
      </c>
      <c r="I11" s="135">
        <f t="shared" si="3"/>
        <v>287.30546623794214</v>
      </c>
      <c r="J11" s="135">
        <f t="shared" si="3"/>
        <v>287.56231003039517</v>
      </c>
      <c r="K11" s="135">
        <f t="shared" si="3"/>
        <v>287.5623100303951</v>
      </c>
      <c r="L11" s="135">
        <f t="shared" si="3"/>
        <v>287.5623100303951</v>
      </c>
      <c r="M11" s="135">
        <f t="shared" si="3"/>
        <v>287.5623100303951</v>
      </c>
      <c r="N11" s="135">
        <f t="shared" si="3"/>
        <v>287.5623100303951</v>
      </c>
      <c r="O11" s="135">
        <f t="shared" si="3"/>
        <v>287.5623100303951</v>
      </c>
      <c r="P11" s="135">
        <f t="shared" si="3"/>
        <v>287.5623100303951</v>
      </c>
      <c r="Q11" s="135">
        <f t="shared" si="3"/>
        <v>287.5623100303951</v>
      </c>
      <c r="R11" s="135">
        <f t="shared" si="3"/>
        <v>287.5623100303951</v>
      </c>
      <c r="S11" s="135">
        <f t="shared" si="3"/>
        <v>287.5623100303951</v>
      </c>
      <c r="T11" s="135">
        <f t="shared" si="3"/>
        <v>287.5623100303951</v>
      </c>
      <c r="U11" s="135">
        <f t="shared" si="3"/>
        <v>287.5623100303951</v>
      </c>
      <c r="V11" s="135">
        <f t="shared" si="3"/>
        <v>287.5623100303951</v>
      </c>
      <c r="W11" s="135">
        <f t="shared" si="3"/>
        <v>287.5623100303951</v>
      </c>
      <c r="X11" s="135">
        <f t="shared" si="3"/>
        <v>287.5623100303951</v>
      </c>
      <c r="Y11" s="135">
        <f>Y8*1000/Y10</f>
        <v>287.5623100303951</v>
      </c>
      <c r="Z11" s="135">
        <f>Z8*1000/Z10</f>
        <v>287.5623100303951</v>
      </c>
      <c r="AA11" s="135">
        <f>AA8*1000/AA10</f>
        <v>287.5623100303951</v>
      </c>
      <c r="AB11" s="135">
        <f>AB8*1000/AB10</f>
        <v>287.5623100303951</v>
      </c>
      <c r="AC11" s="135">
        <f>AC8*1000/AC10</f>
        <v>287.5623100303951</v>
      </c>
      <c r="AD11" s="135">
        <f>AD8*1000/AD10</f>
        <v>287.5623100303951</v>
      </c>
      <c r="AE11" s="135">
        <f>AE8*1000/AE10</f>
        <v>287.5623100303951</v>
      </c>
    </row>
    <row r="12" spans="3:31" ht="12.75">
      <c r="C12" s="5" t="s">
        <v>376</v>
      </c>
      <c r="D12" s="5" t="s">
        <v>377</v>
      </c>
      <c r="E12" s="5"/>
      <c r="F12" s="5"/>
      <c r="G12" s="5">
        <v>550</v>
      </c>
      <c r="H12" s="5">
        <f>G12</f>
        <v>550</v>
      </c>
      <c r="I12" s="5">
        <f aca="true" t="shared" si="4" ref="I12:X12">H12</f>
        <v>550</v>
      </c>
      <c r="J12" s="5">
        <f t="shared" si="4"/>
        <v>550</v>
      </c>
      <c r="K12" s="5">
        <f t="shared" si="4"/>
        <v>550</v>
      </c>
      <c r="L12" s="5">
        <f t="shared" si="4"/>
        <v>550</v>
      </c>
      <c r="M12" s="5">
        <f t="shared" si="4"/>
        <v>550</v>
      </c>
      <c r="N12" s="5">
        <f t="shared" si="4"/>
        <v>550</v>
      </c>
      <c r="O12" s="5">
        <f t="shared" si="4"/>
        <v>550</v>
      </c>
      <c r="P12" s="5">
        <f t="shared" si="4"/>
        <v>550</v>
      </c>
      <c r="Q12" s="5">
        <f t="shared" si="4"/>
        <v>550</v>
      </c>
      <c r="R12" s="5">
        <f t="shared" si="4"/>
        <v>550</v>
      </c>
      <c r="S12" s="5">
        <f t="shared" si="4"/>
        <v>550</v>
      </c>
      <c r="T12" s="5">
        <f t="shared" si="4"/>
        <v>550</v>
      </c>
      <c r="U12" s="5">
        <f t="shared" si="4"/>
        <v>550</v>
      </c>
      <c r="V12" s="5">
        <f t="shared" si="4"/>
        <v>550</v>
      </c>
      <c r="W12" s="5">
        <f t="shared" si="4"/>
        <v>550</v>
      </c>
      <c r="X12" s="5">
        <f t="shared" si="4"/>
        <v>550</v>
      </c>
      <c r="Y12" s="5">
        <f aca="true" t="shared" si="5" ref="Y12:AE12">X12</f>
        <v>550</v>
      </c>
      <c r="Z12" s="5">
        <f t="shared" si="5"/>
        <v>550</v>
      </c>
      <c r="AA12" s="5">
        <f t="shared" si="5"/>
        <v>550</v>
      </c>
      <c r="AB12" s="5">
        <f t="shared" si="5"/>
        <v>550</v>
      </c>
      <c r="AC12" s="5">
        <f t="shared" si="5"/>
        <v>550</v>
      </c>
      <c r="AD12" s="5">
        <f t="shared" si="5"/>
        <v>550</v>
      </c>
      <c r="AE12" s="5">
        <f t="shared" si="5"/>
        <v>550</v>
      </c>
    </row>
    <row r="13" spans="3:31" ht="12.75">
      <c r="C13" s="5" t="s">
        <v>380</v>
      </c>
      <c r="D13" s="5" t="s">
        <v>377</v>
      </c>
      <c r="E13" s="7"/>
      <c r="F13" s="7">
        <f aca="true" t="shared" si="6" ref="F13:X13">F12*F11*(F4-E4)</f>
        <v>0</v>
      </c>
      <c r="G13" s="7">
        <f t="shared" si="6"/>
        <v>57921503.64963504</v>
      </c>
      <c r="H13" s="7">
        <f t="shared" si="6"/>
        <v>57816000</v>
      </c>
      <c r="I13" s="7">
        <f t="shared" si="6"/>
        <v>57676572.34726688</v>
      </c>
      <c r="J13" s="7">
        <f t="shared" si="6"/>
        <v>57728133.738601826</v>
      </c>
      <c r="K13" s="7">
        <f t="shared" si="6"/>
        <v>57886293.009118535</v>
      </c>
      <c r="L13" s="7">
        <f t="shared" si="6"/>
        <v>57728133.73860182</v>
      </c>
      <c r="M13" s="7">
        <f t="shared" si="6"/>
        <v>57728133.73860182</v>
      </c>
      <c r="N13" s="7">
        <f t="shared" si="6"/>
        <v>57728133.73860182</v>
      </c>
      <c r="O13" s="7">
        <f t="shared" si="6"/>
        <v>57886293.009118535</v>
      </c>
      <c r="P13" s="7">
        <f t="shared" si="6"/>
        <v>57728133.73860182</v>
      </c>
      <c r="Q13" s="7">
        <f t="shared" si="6"/>
        <v>57728133.73860182</v>
      </c>
      <c r="R13" s="7">
        <f t="shared" si="6"/>
        <v>57728133.73860182</v>
      </c>
      <c r="S13" s="7">
        <f t="shared" si="6"/>
        <v>57886293.009118535</v>
      </c>
      <c r="T13" s="7">
        <f t="shared" si="6"/>
        <v>57728133.73860182</v>
      </c>
      <c r="U13" s="7">
        <f t="shared" si="6"/>
        <v>57728133.73860182</v>
      </c>
      <c r="V13" s="7">
        <f t="shared" si="6"/>
        <v>57728133.73860182</v>
      </c>
      <c r="W13" s="7">
        <f t="shared" si="6"/>
        <v>57886293.009118535</v>
      </c>
      <c r="X13" s="7">
        <f t="shared" si="6"/>
        <v>57728133.73860182</v>
      </c>
      <c r="Y13" s="7">
        <f aca="true" t="shared" si="7" ref="Y13:AE13">Y12*Y11*(Y4-X4)</f>
        <v>57728133.73860182</v>
      </c>
      <c r="Z13" s="7">
        <f t="shared" si="7"/>
        <v>57728133.73860182</v>
      </c>
      <c r="AA13" s="7">
        <f t="shared" si="7"/>
        <v>57886293.009118535</v>
      </c>
      <c r="AB13" s="7">
        <f t="shared" si="7"/>
        <v>57728133.73860182</v>
      </c>
      <c r="AC13" s="7">
        <f t="shared" si="7"/>
        <v>57728133.73860182</v>
      </c>
      <c r="AD13" s="7">
        <f t="shared" si="7"/>
        <v>57728133.73860182</v>
      </c>
      <c r="AE13" s="7">
        <f t="shared" si="7"/>
        <v>57886293.009118535</v>
      </c>
    </row>
    <row r="14" spans="3:31" s="1" customFormat="1" ht="12.75">
      <c r="C14" s="20" t="s">
        <v>395</v>
      </c>
      <c r="D14" s="20" t="s">
        <v>379</v>
      </c>
      <c r="E14" s="28">
        <f>IF(E6&lt;=0,0,E13/E6)</f>
        <v>0</v>
      </c>
      <c r="F14" s="28">
        <f aca="true" t="shared" si="8" ref="F14:X14">IF(F6&lt;=0,0,F13/F6)</f>
        <v>0</v>
      </c>
      <c r="G14" s="28">
        <f t="shared" si="8"/>
        <v>734.6715328467153</v>
      </c>
      <c r="H14" s="28">
        <f t="shared" si="8"/>
        <v>687.5</v>
      </c>
      <c r="I14" s="28">
        <f t="shared" si="8"/>
        <v>645.4983922829581</v>
      </c>
      <c r="J14" s="28">
        <f t="shared" si="8"/>
        <v>610.1823708206687</v>
      </c>
      <c r="K14" s="28">
        <f t="shared" si="8"/>
        <v>611.854103343465</v>
      </c>
      <c r="L14" s="28">
        <f t="shared" si="8"/>
        <v>610.1823708206687</v>
      </c>
      <c r="M14" s="28">
        <f t="shared" si="8"/>
        <v>610.1823708206687</v>
      </c>
      <c r="N14" s="28">
        <f t="shared" si="8"/>
        <v>610.1823708206687</v>
      </c>
      <c r="O14" s="28">
        <f t="shared" si="8"/>
        <v>611.854103343465</v>
      </c>
      <c r="P14" s="28">
        <f t="shared" si="8"/>
        <v>610.1823708206687</v>
      </c>
      <c r="Q14" s="28">
        <f t="shared" si="8"/>
        <v>610.1823708206687</v>
      </c>
      <c r="R14" s="28">
        <f t="shared" si="8"/>
        <v>610.1823708206687</v>
      </c>
      <c r="S14" s="28">
        <f t="shared" si="8"/>
        <v>611.854103343465</v>
      </c>
      <c r="T14" s="28">
        <f t="shared" si="8"/>
        <v>610.1823708206687</v>
      </c>
      <c r="U14" s="28">
        <f t="shared" si="8"/>
        <v>610.1823708206687</v>
      </c>
      <c r="V14" s="28">
        <f t="shared" si="8"/>
        <v>610.1823708206687</v>
      </c>
      <c r="W14" s="28">
        <f t="shared" si="8"/>
        <v>611.854103343465</v>
      </c>
      <c r="X14" s="28">
        <f t="shared" si="8"/>
        <v>610.1823708206687</v>
      </c>
      <c r="Y14" s="28">
        <f>IF(Y6&lt;=0,0,Y13/Y6)</f>
        <v>610.1823708206687</v>
      </c>
      <c r="Z14" s="28">
        <f>IF(Z6&lt;=0,0,Z13/Z6)</f>
        <v>610.1823708206687</v>
      </c>
      <c r="AA14" s="28">
        <f>IF(AA6&lt;=0,0,AA13/AA6)</f>
        <v>611.854103343465</v>
      </c>
      <c r="AB14" s="28">
        <f>IF(AB6&lt;=0,0,AB13/AB6)</f>
        <v>610.1823708206687</v>
      </c>
      <c r="AC14" s="28">
        <f>IF(AC6&lt;=0,0,AC13/AC6)</f>
        <v>610.1823708206687</v>
      </c>
      <c r="AD14" s="28">
        <f>IF(AD6&lt;=0,0,AD13/AD6)</f>
        <v>610.1823708206687</v>
      </c>
      <c r="AE14" s="28">
        <f>IF(AE6&lt;=0,0,AE13/AE6)</f>
        <v>611.854103343465</v>
      </c>
    </row>
    <row r="15" spans="3:3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3:31" ht="12.75">
      <c r="C16" s="20" t="s">
        <v>394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3:31" ht="12.75">
      <c r="C17" s="5" t="s">
        <v>381</v>
      </c>
      <c r="D17" s="5" t="s">
        <v>382</v>
      </c>
      <c r="E17" s="5">
        <v>160</v>
      </c>
      <c r="F17" s="5">
        <f>E17</f>
        <v>160</v>
      </c>
      <c r="G17" s="5">
        <f aca="true" t="shared" si="9" ref="G17:X17">F17</f>
        <v>160</v>
      </c>
      <c r="H17" s="5">
        <f t="shared" si="9"/>
        <v>160</v>
      </c>
      <c r="I17" s="5">
        <f t="shared" si="9"/>
        <v>160</v>
      </c>
      <c r="J17" s="5">
        <f t="shared" si="9"/>
        <v>160</v>
      </c>
      <c r="K17" s="5">
        <f t="shared" si="9"/>
        <v>160</v>
      </c>
      <c r="L17" s="5">
        <f t="shared" si="9"/>
        <v>160</v>
      </c>
      <c r="M17" s="5">
        <f t="shared" si="9"/>
        <v>160</v>
      </c>
      <c r="N17" s="5">
        <f t="shared" si="9"/>
        <v>160</v>
      </c>
      <c r="O17" s="5">
        <f t="shared" si="9"/>
        <v>160</v>
      </c>
      <c r="P17" s="5">
        <f t="shared" si="9"/>
        <v>160</v>
      </c>
      <c r="Q17" s="5">
        <f t="shared" si="9"/>
        <v>160</v>
      </c>
      <c r="R17" s="5">
        <f t="shared" si="9"/>
        <v>160</v>
      </c>
      <c r="S17" s="5">
        <f t="shared" si="9"/>
        <v>160</v>
      </c>
      <c r="T17" s="5">
        <f t="shared" si="9"/>
        <v>160</v>
      </c>
      <c r="U17" s="5">
        <f t="shared" si="9"/>
        <v>160</v>
      </c>
      <c r="V17" s="5">
        <f t="shared" si="9"/>
        <v>160</v>
      </c>
      <c r="W17" s="5">
        <f t="shared" si="9"/>
        <v>160</v>
      </c>
      <c r="X17" s="5">
        <f t="shared" si="9"/>
        <v>160</v>
      </c>
      <c r="Y17" s="5">
        <f aca="true" t="shared" si="10" ref="Y17:AE17">X17</f>
        <v>160</v>
      </c>
      <c r="Z17" s="5">
        <f t="shared" si="10"/>
        <v>160</v>
      </c>
      <c r="AA17" s="5">
        <f t="shared" si="10"/>
        <v>160</v>
      </c>
      <c r="AB17" s="5">
        <f t="shared" si="10"/>
        <v>160</v>
      </c>
      <c r="AC17" s="5">
        <f t="shared" si="10"/>
        <v>160</v>
      </c>
      <c r="AD17" s="5">
        <f t="shared" si="10"/>
        <v>160</v>
      </c>
      <c r="AE17" s="5">
        <f t="shared" si="10"/>
        <v>160</v>
      </c>
    </row>
    <row r="18" spans="3:31" ht="12.75">
      <c r="C18" s="5" t="s">
        <v>383</v>
      </c>
      <c r="D18" s="5" t="s">
        <v>384</v>
      </c>
      <c r="E18" s="5">
        <v>2</v>
      </c>
      <c r="F18" s="5">
        <f>E18</f>
        <v>2</v>
      </c>
      <c r="G18" s="5">
        <f aca="true" t="shared" si="11" ref="G18:X18">F18</f>
        <v>2</v>
      </c>
      <c r="H18" s="5">
        <f t="shared" si="11"/>
        <v>2</v>
      </c>
      <c r="I18" s="5">
        <f t="shared" si="11"/>
        <v>2</v>
      </c>
      <c r="J18" s="5">
        <f t="shared" si="11"/>
        <v>2</v>
      </c>
      <c r="K18" s="5">
        <f t="shared" si="11"/>
        <v>2</v>
      </c>
      <c r="L18" s="5">
        <f t="shared" si="11"/>
        <v>2</v>
      </c>
      <c r="M18" s="5">
        <f t="shared" si="11"/>
        <v>2</v>
      </c>
      <c r="N18" s="5">
        <f t="shared" si="11"/>
        <v>2</v>
      </c>
      <c r="O18" s="5">
        <f t="shared" si="11"/>
        <v>2</v>
      </c>
      <c r="P18" s="5">
        <f t="shared" si="11"/>
        <v>2</v>
      </c>
      <c r="Q18" s="5">
        <f t="shared" si="11"/>
        <v>2</v>
      </c>
      <c r="R18" s="5">
        <f t="shared" si="11"/>
        <v>2</v>
      </c>
      <c r="S18" s="5">
        <f t="shared" si="11"/>
        <v>2</v>
      </c>
      <c r="T18" s="5">
        <f t="shared" si="11"/>
        <v>2</v>
      </c>
      <c r="U18" s="5">
        <f t="shared" si="11"/>
        <v>2</v>
      </c>
      <c r="V18" s="5">
        <f t="shared" si="11"/>
        <v>2</v>
      </c>
      <c r="W18" s="5">
        <f t="shared" si="11"/>
        <v>2</v>
      </c>
      <c r="X18" s="5">
        <f t="shared" si="11"/>
        <v>2</v>
      </c>
      <c r="Y18" s="5">
        <f aca="true" t="shared" si="12" ref="Y18:AE18">X18</f>
        <v>2</v>
      </c>
      <c r="Z18" s="5">
        <f t="shared" si="12"/>
        <v>2</v>
      </c>
      <c r="AA18" s="5">
        <f t="shared" si="12"/>
        <v>2</v>
      </c>
      <c r="AB18" s="5">
        <f t="shared" si="12"/>
        <v>2</v>
      </c>
      <c r="AC18" s="5">
        <f t="shared" si="12"/>
        <v>2</v>
      </c>
      <c r="AD18" s="5">
        <f t="shared" si="12"/>
        <v>2</v>
      </c>
      <c r="AE18" s="5">
        <f t="shared" si="12"/>
        <v>2</v>
      </c>
    </row>
    <row r="19" spans="3:31" ht="12.75">
      <c r="C19" s="5" t="s">
        <v>385</v>
      </c>
      <c r="D19" s="5" t="s">
        <v>348</v>
      </c>
      <c r="E19" s="5">
        <f>E17*E18</f>
        <v>320</v>
      </c>
      <c r="F19" s="5">
        <f aca="true" t="shared" si="13" ref="F19:X19">F17*F18</f>
        <v>320</v>
      </c>
      <c r="G19" s="5">
        <f t="shared" si="13"/>
        <v>320</v>
      </c>
      <c r="H19" s="5">
        <f t="shared" si="13"/>
        <v>320</v>
      </c>
      <c r="I19" s="5">
        <f t="shared" si="13"/>
        <v>320</v>
      </c>
      <c r="J19" s="5">
        <f t="shared" si="13"/>
        <v>320</v>
      </c>
      <c r="K19" s="5">
        <f t="shared" si="13"/>
        <v>320</v>
      </c>
      <c r="L19" s="5">
        <f t="shared" si="13"/>
        <v>320</v>
      </c>
      <c r="M19" s="5">
        <f t="shared" si="13"/>
        <v>320</v>
      </c>
      <c r="N19" s="5">
        <f t="shared" si="13"/>
        <v>320</v>
      </c>
      <c r="O19" s="5">
        <f t="shared" si="13"/>
        <v>320</v>
      </c>
      <c r="P19" s="5">
        <f t="shared" si="13"/>
        <v>320</v>
      </c>
      <c r="Q19" s="5">
        <f t="shared" si="13"/>
        <v>320</v>
      </c>
      <c r="R19" s="5">
        <f t="shared" si="13"/>
        <v>320</v>
      </c>
      <c r="S19" s="5">
        <f t="shared" si="13"/>
        <v>320</v>
      </c>
      <c r="T19" s="5">
        <f t="shared" si="13"/>
        <v>320</v>
      </c>
      <c r="U19" s="5">
        <f t="shared" si="13"/>
        <v>320</v>
      </c>
      <c r="V19" s="5">
        <f t="shared" si="13"/>
        <v>320</v>
      </c>
      <c r="W19" s="5">
        <f t="shared" si="13"/>
        <v>320</v>
      </c>
      <c r="X19" s="5">
        <f t="shared" si="13"/>
        <v>320</v>
      </c>
      <c r="Y19" s="5">
        <f>Y17*Y18</f>
        <v>320</v>
      </c>
      <c r="Z19" s="5">
        <f>Z17*Z18</f>
        <v>320</v>
      </c>
      <c r="AA19" s="5">
        <f>AA17*AA18</f>
        <v>320</v>
      </c>
      <c r="AB19" s="5">
        <f>AB17*AB18</f>
        <v>320</v>
      </c>
      <c r="AC19" s="5">
        <f>AC17*AC18</f>
        <v>320</v>
      </c>
      <c r="AD19" s="5">
        <f>AD17*AD18</f>
        <v>320</v>
      </c>
      <c r="AE19" s="5">
        <f>AE17*AE18</f>
        <v>320</v>
      </c>
    </row>
    <row r="20" spans="3:31" ht="12.75">
      <c r="C20" s="5" t="s">
        <v>386</v>
      </c>
      <c r="D20" s="5" t="s">
        <v>387</v>
      </c>
      <c r="E20" s="5">
        <f>E19*330</f>
        <v>105600</v>
      </c>
      <c r="F20" s="5">
        <f aca="true" t="shared" si="14" ref="F20:X20">F19*330</f>
        <v>105600</v>
      </c>
      <c r="G20" s="5">
        <f t="shared" si="14"/>
        <v>105600</v>
      </c>
      <c r="H20" s="5">
        <f t="shared" si="14"/>
        <v>105600</v>
      </c>
      <c r="I20" s="5">
        <f t="shared" si="14"/>
        <v>105600</v>
      </c>
      <c r="J20" s="5">
        <f t="shared" si="14"/>
        <v>105600</v>
      </c>
      <c r="K20" s="5">
        <f t="shared" si="14"/>
        <v>105600</v>
      </c>
      <c r="L20" s="5">
        <f t="shared" si="14"/>
        <v>105600</v>
      </c>
      <c r="M20" s="5">
        <f t="shared" si="14"/>
        <v>105600</v>
      </c>
      <c r="N20" s="5">
        <f t="shared" si="14"/>
        <v>105600</v>
      </c>
      <c r="O20" s="5">
        <f t="shared" si="14"/>
        <v>105600</v>
      </c>
      <c r="P20" s="5">
        <f t="shared" si="14"/>
        <v>105600</v>
      </c>
      <c r="Q20" s="5">
        <f t="shared" si="14"/>
        <v>105600</v>
      </c>
      <c r="R20" s="5">
        <f t="shared" si="14"/>
        <v>105600</v>
      </c>
      <c r="S20" s="5">
        <f t="shared" si="14"/>
        <v>105600</v>
      </c>
      <c r="T20" s="5">
        <f t="shared" si="14"/>
        <v>105600</v>
      </c>
      <c r="U20" s="5">
        <f t="shared" si="14"/>
        <v>105600</v>
      </c>
      <c r="V20" s="5">
        <f t="shared" si="14"/>
        <v>105600</v>
      </c>
      <c r="W20" s="5">
        <f t="shared" si="14"/>
        <v>105600</v>
      </c>
      <c r="X20" s="5">
        <f t="shared" si="14"/>
        <v>105600</v>
      </c>
      <c r="Y20" s="5">
        <f>Y19*330</f>
        <v>105600</v>
      </c>
      <c r="Z20" s="5">
        <f>Z19*330</f>
        <v>105600</v>
      </c>
      <c r="AA20" s="5">
        <f>AA19*330</f>
        <v>105600</v>
      </c>
      <c r="AB20" s="5">
        <f>AB19*330</f>
        <v>105600</v>
      </c>
      <c r="AC20" s="5">
        <f>AC19*330</f>
        <v>105600</v>
      </c>
      <c r="AD20" s="5">
        <f>AD19*330</f>
        <v>105600</v>
      </c>
      <c r="AE20" s="5">
        <f>AE19*330</f>
        <v>105600</v>
      </c>
    </row>
    <row r="21" spans="3:31" ht="12.75">
      <c r="C21" s="5" t="s">
        <v>388</v>
      </c>
      <c r="D21" s="5" t="s">
        <v>10</v>
      </c>
      <c r="E21" s="13">
        <f>IF(E6&lt;=0,0,E6/E20)</f>
        <v>0</v>
      </c>
      <c r="F21" s="13">
        <f aca="true" t="shared" si="15" ref="F21:X21">IF(F6&lt;=0,0,F6/F20)</f>
        <v>0</v>
      </c>
      <c r="G21" s="13">
        <f t="shared" si="15"/>
        <v>0.7465909090909091</v>
      </c>
      <c r="H21" s="13">
        <f t="shared" si="15"/>
        <v>0.7963636363636364</v>
      </c>
      <c r="I21" s="13">
        <f t="shared" si="15"/>
        <v>0.8461363636363638</v>
      </c>
      <c r="J21" s="13">
        <f t="shared" si="15"/>
        <v>0.8959090909090911</v>
      </c>
      <c r="K21" s="13">
        <f t="shared" si="15"/>
        <v>0.8959090909090909</v>
      </c>
      <c r="L21" s="13">
        <f t="shared" si="15"/>
        <v>0.8959090909090909</v>
      </c>
      <c r="M21" s="13">
        <f t="shared" si="15"/>
        <v>0.8959090909090909</v>
      </c>
      <c r="N21" s="13">
        <f t="shared" si="15"/>
        <v>0.8959090909090909</v>
      </c>
      <c r="O21" s="13">
        <f t="shared" si="15"/>
        <v>0.8959090909090909</v>
      </c>
      <c r="P21" s="13">
        <f t="shared" si="15"/>
        <v>0.8959090909090909</v>
      </c>
      <c r="Q21" s="13">
        <f t="shared" si="15"/>
        <v>0.8959090909090909</v>
      </c>
      <c r="R21" s="13">
        <f t="shared" si="15"/>
        <v>0.8959090909090909</v>
      </c>
      <c r="S21" s="13">
        <f t="shared" si="15"/>
        <v>0.8959090909090909</v>
      </c>
      <c r="T21" s="13">
        <f t="shared" si="15"/>
        <v>0.8959090909090909</v>
      </c>
      <c r="U21" s="13">
        <f t="shared" si="15"/>
        <v>0.8959090909090909</v>
      </c>
      <c r="V21" s="13">
        <f t="shared" si="15"/>
        <v>0.8959090909090909</v>
      </c>
      <c r="W21" s="13">
        <f t="shared" si="15"/>
        <v>0.8959090909090909</v>
      </c>
      <c r="X21" s="13">
        <f t="shared" si="15"/>
        <v>0.8959090909090909</v>
      </c>
      <c r="Y21" s="13">
        <f>IF(Y6&lt;=0,0,Y6/Y20)</f>
        <v>0.8959090909090909</v>
      </c>
      <c r="Z21" s="13">
        <f>IF(Z6&lt;=0,0,Z6/Z20)</f>
        <v>0.8959090909090909</v>
      </c>
      <c r="AA21" s="13">
        <f>IF(AA6&lt;=0,0,AA6/AA20)</f>
        <v>0.8959090909090909</v>
      </c>
      <c r="AB21" s="13">
        <f>IF(AB6&lt;=0,0,AB6/AB20)</f>
        <v>0.8959090909090909</v>
      </c>
      <c r="AC21" s="13">
        <f>IF(AC6&lt;=0,0,AC6/AC20)</f>
        <v>0.8959090909090909</v>
      </c>
      <c r="AD21" s="13">
        <f>IF(AD6&lt;=0,0,AD6/AD20)</f>
        <v>0.8959090909090909</v>
      </c>
      <c r="AE21" s="13">
        <f>IF(AE6&lt;=0,0,AE6/AE20)</f>
        <v>0.8959090909090909</v>
      </c>
    </row>
    <row r="22" spans="3:31" ht="12.75">
      <c r="C22" s="5" t="s">
        <v>389</v>
      </c>
      <c r="D22" s="5" t="s">
        <v>12</v>
      </c>
      <c r="E22" s="5">
        <v>80</v>
      </c>
      <c r="F22" s="5">
        <f>E22</f>
        <v>80</v>
      </c>
      <c r="G22" s="5">
        <f aca="true" t="shared" si="16" ref="G22:X22">F22</f>
        <v>80</v>
      </c>
      <c r="H22" s="5">
        <f t="shared" si="16"/>
        <v>80</v>
      </c>
      <c r="I22" s="5">
        <f t="shared" si="16"/>
        <v>80</v>
      </c>
      <c r="J22" s="5">
        <f t="shared" si="16"/>
        <v>80</v>
      </c>
      <c r="K22" s="5">
        <f t="shared" si="16"/>
        <v>80</v>
      </c>
      <c r="L22" s="5">
        <f t="shared" si="16"/>
        <v>80</v>
      </c>
      <c r="M22" s="5">
        <f t="shared" si="16"/>
        <v>80</v>
      </c>
      <c r="N22" s="5">
        <f t="shared" si="16"/>
        <v>80</v>
      </c>
      <c r="O22" s="5">
        <f t="shared" si="16"/>
        <v>80</v>
      </c>
      <c r="P22" s="5">
        <f t="shared" si="16"/>
        <v>80</v>
      </c>
      <c r="Q22" s="5">
        <f t="shared" si="16"/>
        <v>80</v>
      </c>
      <c r="R22" s="5">
        <f t="shared" si="16"/>
        <v>80</v>
      </c>
      <c r="S22" s="5">
        <f t="shared" si="16"/>
        <v>80</v>
      </c>
      <c r="T22" s="5">
        <f t="shared" si="16"/>
        <v>80</v>
      </c>
      <c r="U22" s="5">
        <f t="shared" si="16"/>
        <v>80</v>
      </c>
      <c r="V22" s="5">
        <f t="shared" si="16"/>
        <v>80</v>
      </c>
      <c r="W22" s="5">
        <f t="shared" si="16"/>
        <v>80</v>
      </c>
      <c r="X22" s="5">
        <f t="shared" si="16"/>
        <v>80</v>
      </c>
      <c r="Y22" s="5">
        <f aca="true" t="shared" si="17" ref="Y22:AE22">X22</f>
        <v>80</v>
      </c>
      <c r="Z22" s="5">
        <f t="shared" si="17"/>
        <v>80</v>
      </c>
      <c r="AA22" s="5">
        <f t="shared" si="17"/>
        <v>80</v>
      </c>
      <c r="AB22" s="5">
        <f t="shared" si="17"/>
        <v>80</v>
      </c>
      <c r="AC22" s="5">
        <f t="shared" si="17"/>
        <v>80</v>
      </c>
      <c r="AD22" s="5">
        <f t="shared" si="17"/>
        <v>80</v>
      </c>
      <c r="AE22" s="5">
        <f t="shared" si="17"/>
        <v>80</v>
      </c>
    </row>
    <row r="23" spans="3:31" ht="12.75">
      <c r="C23" s="5" t="s">
        <v>390</v>
      </c>
      <c r="D23" s="5" t="s">
        <v>12</v>
      </c>
      <c r="E23" s="5">
        <f>E22*E21*E20</f>
        <v>0</v>
      </c>
      <c r="F23" s="5">
        <f aca="true" t="shared" si="18" ref="F23:X23">F22*F21*F20</f>
        <v>0</v>
      </c>
      <c r="G23" s="5">
        <f t="shared" si="18"/>
        <v>6307200</v>
      </c>
      <c r="H23" s="5">
        <f t="shared" si="18"/>
        <v>6727680</v>
      </c>
      <c r="I23" s="5">
        <f t="shared" si="18"/>
        <v>7148160.000000001</v>
      </c>
      <c r="J23" s="5">
        <f t="shared" si="18"/>
        <v>7568640.000000002</v>
      </c>
      <c r="K23" s="5">
        <f t="shared" si="18"/>
        <v>7568640</v>
      </c>
      <c r="L23" s="5">
        <f t="shared" si="18"/>
        <v>7568640</v>
      </c>
      <c r="M23" s="5">
        <f t="shared" si="18"/>
        <v>7568640</v>
      </c>
      <c r="N23" s="5">
        <f t="shared" si="18"/>
        <v>7568640</v>
      </c>
      <c r="O23" s="5">
        <f t="shared" si="18"/>
        <v>7568640</v>
      </c>
      <c r="P23" s="5">
        <f t="shared" si="18"/>
        <v>7568640</v>
      </c>
      <c r="Q23" s="5">
        <f t="shared" si="18"/>
        <v>7568640</v>
      </c>
      <c r="R23" s="5">
        <f t="shared" si="18"/>
        <v>7568640</v>
      </c>
      <c r="S23" s="5">
        <f t="shared" si="18"/>
        <v>7568640</v>
      </c>
      <c r="T23" s="5">
        <f t="shared" si="18"/>
        <v>7568640</v>
      </c>
      <c r="U23" s="5">
        <f t="shared" si="18"/>
        <v>7568640</v>
      </c>
      <c r="V23" s="5">
        <f t="shared" si="18"/>
        <v>7568640</v>
      </c>
      <c r="W23" s="5">
        <f t="shared" si="18"/>
        <v>7568640</v>
      </c>
      <c r="X23" s="5">
        <f t="shared" si="18"/>
        <v>7568640</v>
      </c>
      <c r="Y23" s="5">
        <f>Y22*Y21*Y20</f>
        <v>7568640</v>
      </c>
      <c r="Z23" s="5">
        <f>Z22*Z21*Z20</f>
        <v>7568640</v>
      </c>
      <c r="AA23" s="5">
        <f>AA22*AA21*AA20</f>
        <v>7568640</v>
      </c>
      <c r="AB23" s="5">
        <f>AB22*AB21*AB20</f>
        <v>7568640</v>
      </c>
      <c r="AC23" s="5">
        <f>AC22*AC21*AC20</f>
        <v>7568640</v>
      </c>
      <c r="AD23" s="5">
        <f>AD22*AD21*AD20</f>
        <v>7568640</v>
      </c>
      <c r="AE23" s="5">
        <f>AE22*AE21*AE20</f>
        <v>7568640</v>
      </c>
    </row>
    <row r="24" spans="3:31" ht="12.75">
      <c r="C24" s="5" t="s">
        <v>391</v>
      </c>
      <c r="D24" s="5" t="s">
        <v>235</v>
      </c>
      <c r="E24" s="5">
        <v>5.99</v>
      </c>
      <c r="F24" s="5">
        <f>E24</f>
        <v>5.99</v>
      </c>
      <c r="G24" s="5">
        <f aca="true" t="shared" si="19" ref="G24:X24">F24</f>
        <v>5.99</v>
      </c>
      <c r="H24" s="5">
        <f t="shared" si="19"/>
        <v>5.99</v>
      </c>
      <c r="I24" s="5">
        <f t="shared" si="19"/>
        <v>5.99</v>
      </c>
      <c r="J24" s="5">
        <f t="shared" si="19"/>
        <v>5.99</v>
      </c>
      <c r="K24" s="5">
        <f t="shared" si="19"/>
        <v>5.99</v>
      </c>
      <c r="L24" s="5">
        <f t="shared" si="19"/>
        <v>5.99</v>
      </c>
      <c r="M24" s="5">
        <f t="shared" si="19"/>
        <v>5.99</v>
      </c>
      <c r="N24" s="5">
        <f t="shared" si="19"/>
        <v>5.99</v>
      </c>
      <c r="O24" s="5">
        <f t="shared" si="19"/>
        <v>5.99</v>
      </c>
      <c r="P24" s="5">
        <f t="shared" si="19"/>
        <v>5.99</v>
      </c>
      <c r="Q24" s="5">
        <f t="shared" si="19"/>
        <v>5.99</v>
      </c>
      <c r="R24" s="5">
        <f t="shared" si="19"/>
        <v>5.99</v>
      </c>
      <c r="S24" s="5">
        <f t="shared" si="19"/>
        <v>5.99</v>
      </c>
      <c r="T24" s="5">
        <f t="shared" si="19"/>
        <v>5.99</v>
      </c>
      <c r="U24" s="5">
        <f t="shared" si="19"/>
        <v>5.99</v>
      </c>
      <c r="V24" s="5">
        <f t="shared" si="19"/>
        <v>5.99</v>
      </c>
      <c r="W24" s="5">
        <f t="shared" si="19"/>
        <v>5.99</v>
      </c>
      <c r="X24" s="5">
        <f t="shared" si="19"/>
        <v>5.99</v>
      </c>
      <c r="Y24" s="5">
        <f aca="true" t="shared" si="20" ref="Y24:AE24">X24</f>
        <v>5.99</v>
      </c>
      <c r="Z24" s="5">
        <f t="shared" si="20"/>
        <v>5.99</v>
      </c>
      <c r="AA24" s="5">
        <f t="shared" si="20"/>
        <v>5.99</v>
      </c>
      <c r="AB24" s="5">
        <f t="shared" si="20"/>
        <v>5.99</v>
      </c>
      <c r="AC24" s="5">
        <f t="shared" si="20"/>
        <v>5.99</v>
      </c>
      <c r="AD24" s="5">
        <f t="shared" si="20"/>
        <v>5.99</v>
      </c>
      <c r="AE24" s="5">
        <f t="shared" si="20"/>
        <v>5.99</v>
      </c>
    </row>
    <row r="25" spans="3:31" ht="12.75">
      <c r="C25" s="5" t="s">
        <v>392</v>
      </c>
      <c r="D25" s="5" t="s">
        <v>393</v>
      </c>
      <c r="E25" s="14">
        <f aca="true" t="shared" si="21" ref="E25:AE25">E24*E23/cr</f>
        <v>0</v>
      </c>
      <c r="F25" s="14">
        <f t="shared" si="21"/>
        <v>0</v>
      </c>
      <c r="G25" s="14">
        <f t="shared" si="21"/>
        <v>3.7780128</v>
      </c>
      <c r="H25" s="14">
        <f t="shared" si="21"/>
        <v>4.02988032</v>
      </c>
      <c r="I25" s="14">
        <f t="shared" si="21"/>
        <v>4.28174784</v>
      </c>
      <c r="J25" s="14">
        <f t="shared" si="21"/>
        <v>4.5336153600000015</v>
      </c>
      <c r="K25" s="14">
        <f t="shared" si="21"/>
        <v>4.53361536</v>
      </c>
      <c r="L25" s="14">
        <f t="shared" si="21"/>
        <v>4.53361536</v>
      </c>
      <c r="M25" s="14">
        <f t="shared" si="21"/>
        <v>4.53361536</v>
      </c>
      <c r="N25" s="14">
        <f t="shared" si="21"/>
        <v>4.53361536</v>
      </c>
      <c r="O25" s="14">
        <f t="shared" si="21"/>
        <v>4.53361536</v>
      </c>
      <c r="P25" s="14">
        <f t="shared" si="21"/>
        <v>4.53361536</v>
      </c>
      <c r="Q25" s="14">
        <f t="shared" si="21"/>
        <v>4.53361536</v>
      </c>
      <c r="R25" s="14">
        <f t="shared" si="21"/>
        <v>4.53361536</v>
      </c>
      <c r="S25" s="14">
        <f t="shared" si="21"/>
        <v>4.53361536</v>
      </c>
      <c r="T25" s="14">
        <f t="shared" si="21"/>
        <v>4.53361536</v>
      </c>
      <c r="U25" s="14">
        <f t="shared" si="21"/>
        <v>4.53361536</v>
      </c>
      <c r="V25" s="14">
        <f t="shared" si="21"/>
        <v>4.53361536</v>
      </c>
      <c r="W25" s="14">
        <f t="shared" si="21"/>
        <v>4.53361536</v>
      </c>
      <c r="X25" s="14">
        <f t="shared" si="21"/>
        <v>4.53361536</v>
      </c>
      <c r="Y25" s="14">
        <f t="shared" si="21"/>
        <v>4.53361536</v>
      </c>
      <c r="Z25" s="14">
        <f t="shared" si="21"/>
        <v>4.53361536</v>
      </c>
      <c r="AA25" s="14">
        <f t="shared" si="21"/>
        <v>4.53361536</v>
      </c>
      <c r="AB25" s="14">
        <f t="shared" si="21"/>
        <v>4.53361536</v>
      </c>
      <c r="AC25" s="14">
        <f t="shared" si="21"/>
        <v>4.53361536</v>
      </c>
      <c r="AD25" s="14">
        <f t="shared" si="21"/>
        <v>4.53361536</v>
      </c>
      <c r="AE25" s="14">
        <f t="shared" si="21"/>
        <v>4.53361536</v>
      </c>
    </row>
    <row r="26" spans="3:31" s="1" customFormat="1" ht="12.75">
      <c r="C26" s="20" t="s">
        <v>394</v>
      </c>
      <c r="D26" s="20" t="s">
        <v>379</v>
      </c>
      <c r="E26" s="20">
        <f aca="true" t="shared" si="22" ref="E26:AE26">IF(E6&lt;=0,0,E25*cr/E6)</f>
        <v>0</v>
      </c>
      <c r="F26" s="20">
        <f t="shared" si="22"/>
        <v>0</v>
      </c>
      <c r="G26" s="20">
        <f t="shared" si="22"/>
        <v>479.2</v>
      </c>
      <c r="H26" s="20">
        <f t="shared" si="22"/>
        <v>479.20000000000005</v>
      </c>
      <c r="I26" s="20">
        <f t="shared" si="22"/>
        <v>479.2</v>
      </c>
      <c r="J26" s="20">
        <f t="shared" si="22"/>
        <v>479.2000000000001</v>
      </c>
      <c r="K26" s="20">
        <f t="shared" si="22"/>
        <v>479.19999999999993</v>
      </c>
      <c r="L26" s="20">
        <f t="shared" si="22"/>
        <v>479.19999999999993</v>
      </c>
      <c r="M26" s="20">
        <f t="shared" si="22"/>
        <v>479.19999999999993</v>
      </c>
      <c r="N26" s="20">
        <f t="shared" si="22"/>
        <v>479.19999999999993</v>
      </c>
      <c r="O26" s="20">
        <f t="shared" si="22"/>
        <v>479.19999999999993</v>
      </c>
      <c r="P26" s="20">
        <f t="shared" si="22"/>
        <v>479.19999999999993</v>
      </c>
      <c r="Q26" s="20">
        <f t="shared" si="22"/>
        <v>479.19999999999993</v>
      </c>
      <c r="R26" s="20">
        <f t="shared" si="22"/>
        <v>479.19999999999993</v>
      </c>
      <c r="S26" s="20">
        <f t="shared" si="22"/>
        <v>479.19999999999993</v>
      </c>
      <c r="T26" s="20">
        <f t="shared" si="22"/>
        <v>479.19999999999993</v>
      </c>
      <c r="U26" s="20">
        <f t="shared" si="22"/>
        <v>479.19999999999993</v>
      </c>
      <c r="V26" s="20">
        <f t="shared" si="22"/>
        <v>479.19999999999993</v>
      </c>
      <c r="W26" s="20">
        <f t="shared" si="22"/>
        <v>479.19999999999993</v>
      </c>
      <c r="X26" s="20">
        <f t="shared" si="22"/>
        <v>479.19999999999993</v>
      </c>
      <c r="Y26" s="20">
        <f t="shared" si="22"/>
        <v>479.19999999999993</v>
      </c>
      <c r="Z26" s="20">
        <f t="shared" si="22"/>
        <v>479.19999999999993</v>
      </c>
      <c r="AA26" s="20">
        <f t="shared" si="22"/>
        <v>479.19999999999993</v>
      </c>
      <c r="AB26" s="20">
        <f t="shared" si="22"/>
        <v>479.19999999999993</v>
      </c>
      <c r="AC26" s="20">
        <f t="shared" si="22"/>
        <v>479.19999999999993</v>
      </c>
      <c r="AD26" s="20">
        <f t="shared" si="22"/>
        <v>479.19999999999993</v>
      </c>
      <c r="AE26" s="20">
        <f t="shared" si="22"/>
        <v>479.19999999999993</v>
      </c>
    </row>
    <row r="27" spans="3:31" s="137" customFormat="1" ht="12.7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3:31" s="1" customFormat="1" ht="12.75">
      <c r="C28" s="20" t="s">
        <v>378</v>
      </c>
      <c r="D28" s="20" t="s">
        <v>379</v>
      </c>
      <c r="E28" s="20"/>
      <c r="F28" s="20"/>
      <c r="G28" s="20">
        <v>650</v>
      </c>
      <c r="H28" s="20">
        <f>G28</f>
        <v>650</v>
      </c>
      <c r="I28" s="20">
        <f aca="true" t="shared" si="23" ref="I28:X28">H28</f>
        <v>650</v>
      </c>
      <c r="J28" s="20">
        <f t="shared" si="23"/>
        <v>650</v>
      </c>
      <c r="K28" s="20">
        <f t="shared" si="23"/>
        <v>650</v>
      </c>
      <c r="L28" s="20">
        <f t="shared" si="23"/>
        <v>650</v>
      </c>
      <c r="M28" s="20">
        <f t="shared" si="23"/>
        <v>650</v>
      </c>
      <c r="N28" s="20">
        <f t="shared" si="23"/>
        <v>650</v>
      </c>
      <c r="O28" s="20">
        <f t="shared" si="23"/>
        <v>650</v>
      </c>
      <c r="P28" s="20">
        <f t="shared" si="23"/>
        <v>650</v>
      </c>
      <c r="Q28" s="20">
        <f t="shared" si="23"/>
        <v>650</v>
      </c>
      <c r="R28" s="20">
        <f t="shared" si="23"/>
        <v>650</v>
      </c>
      <c r="S28" s="20">
        <f t="shared" si="23"/>
        <v>650</v>
      </c>
      <c r="T28" s="20">
        <f t="shared" si="23"/>
        <v>650</v>
      </c>
      <c r="U28" s="20">
        <f t="shared" si="23"/>
        <v>650</v>
      </c>
      <c r="V28" s="20">
        <f t="shared" si="23"/>
        <v>650</v>
      </c>
      <c r="W28" s="20">
        <f t="shared" si="23"/>
        <v>650</v>
      </c>
      <c r="X28" s="20">
        <f t="shared" si="23"/>
        <v>650</v>
      </c>
      <c r="Y28" s="20">
        <f aca="true" t="shared" si="24" ref="Y28:AE28">X28</f>
        <v>650</v>
      </c>
      <c r="Z28" s="20">
        <f t="shared" si="24"/>
        <v>650</v>
      </c>
      <c r="AA28" s="20">
        <f t="shared" si="24"/>
        <v>650</v>
      </c>
      <c r="AB28" s="20">
        <f t="shared" si="24"/>
        <v>650</v>
      </c>
      <c r="AC28" s="20">
        <f t="shared" si="24"/>
        <v>650</v>
      </c>
      <c r="AD28" s="20">
        <f t="shared" si="24"/>
        <v>650</v>
      </c>
      <c r="AE28" s="20">
        <f t="shared" si="24"/>
        <v>650</v>
      </c>
    </row>
    <row r="29" spans="3:3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3:31" s="1" customFormat="1" ht="12.75">
      <c r="C30" s="20" t="s">
        <v>396</v>
      </c>
      <c r="D30" s="20" t="s">
        <v>379</v>
      </c>
      <c r="E30" s="136">
        <f aca="true" t="shared" si="25" ref="E30:AE30">E28+E26+E14</f>
        <v>0</v>
      </c>
      <c r="F30" s="136">
        <f t="shared" si="25"/>
        <v>0</v>
      </c>
      <c r="G30" s="136">
        <f t="shared" si="25"/>
        <v>1863.8715328467154</v>
      </c>
      <c r="H30" s="136">
        <f t="shared" si="25"/>
        <v>1816.7</v>
      </c>
      <c r="I30" s="136">
        <f t="shared" si="25"/>
        <v>1774.6983922829581</v>
      </c>
      <c r="J30" s="136">
        <f t="shared" si="25"/>
        <v>1739.3823708206687</v>
      </c>
      <c r="K30" s="136">
        <f t="shared" si="25"/>
        <v>1741.0541033434647</v>
      </c>
      <c r="L30" s="136">
        <f t="shared" si="25"/>
        <v>1739.3823708206685</v>
      </c>
      <c r="M30" s="136">
        <f t="shared" si="25"/>
        <v>1739.3823708206685</v>
      </c>
      <c r="N30" s="136">
        <f t="shared" si="25"/>
        <v>1739.3823708206685</v>
      </c>
      <c r="O30" s="136">
        <f t="shared" si="25"/>
        <v>1741.0541033434647</v>
      </c>
      <c r="P30" s="136">
        <f t="shared" si="25"/>
        <v>1739.3823708206685</v>
      </c>
      <c r="Q30" s="136">
        <f t="shared" si="25"/>
        <v>1739.3823708206685</v>
      </c>
      <c r="R30" s="136">
        <f t="shared" si="25"/>
        <v>1739.3823708206685</v>
      </c>
      <c r="S30" s="136">
        <f t="shared" si="25"/>
        <v>1741.0541033434647</v>
      </c>
      <c r="T30" s="136">
        <f t="shared" si="25"/>
        <v>1739.3823708206685</v>
      </c>
      <c r="U30" s="136">
        <f t="shared" si="25"/>
        <v>1739.3823708206685</v>
      </c>
      <c r="V30" s="136">
        <f t="shared" si="25"/>
        <v>1739.3823708206685</v>
      </c>
      <c r="W30" s="136">
        <f t="shared" si="25"/>
        <v>1741.0541033434647</v>
      </c>
      <c r="X30" s="136">
        <f t="shared" si="25"/>
        <v>1739.3823708206685</v>
      </c>
      <c r="Y30" s="136">
        <f t="shared" si="25"/>
        <v>1739.3823708206685</v>
      </c>
      <c r="Z30" s="136">
        <f t="shared" si="25"/>
        <v>1739.3823708206685</v>
      </c>
      <c r="AA30" s="136">
        <f t="shared" si="25"/>
        <v>1741.0541033434647</v>
      </c>
      <c r="AB30" s="136">
        <f t="shared" si="25"/>
        <v>1739.3823708206685</v>
      </c>
      <c r="AC30" s="136">
        <f t="shared" si="25"/>
        <v>1739.3823708206685</v>
      </c>
      <c r="AD30" s="136">
        <f t="shared" si="25"/>
        <v>1739.3823708206685</v>
      </c>
      <c r="AE30" s="136">
        <f t="shared" si="25"/>
        <v>1741.0541033434647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H22"/>
  <sheetViews>
    <sheetView zoomScalePageLayoutView="0" workbookViewId="0" topLeftCell="G1">
      <selection activeCell="O13" sqref="O13"/>
    </sheetView>
  </sheetViews>
  <sheetFormatPr defaultColWidth="9.140625" defaultRowHeight="12.75"/>
  <cols>
    <col min="3" max="3" width="29.7109375" style="0" bestFit="1" customWidth="1"/>
    <col min="4" max="4" width="10.140625" style="0" bestFit="1" customWidth="1"/>
    <col min="5" max="5" width="14.7109375" style="0" bestFit="1" customWidth="1"/>
    <col min="6" max="7" width="10.28125" style="0" bestFit="1" customWidth="1"/>
    <col min="8" max="31" width="10.28125" style="0" customWidth="1"/>
    <col min="32" max="32" width="9.7109375" style="0" bestFit="1" customWidth="1"/>
  </cols>
  <sheetData>
    <row r="1" spans="19:20" ht="12.75">
      <c r="S1" s="142" t="s">
        <v>413</v>
      </c>
      <c r="T1" s="142"/>
    </row>
    <row r="2" spans="3:7" ht="12.75">
      <c r="C2" s="1" t="s">
        <v>54</v>
      </c>
      <c r="E2" s="35" t="s">
        <v>222</v>
      </c>
      <c r="F2" s="35"/>
      <c r="G2" s="36">
        <f>AG13/Input!K5</f>
        <v>6.787021190448675</v>
      </c>
    </row>
    <row r="4" spans="3:32" ht="12.75">
      <c r="C4" s="59" t="s">
        <v>1</v>
      </c>
      <c r="D4" s="59" t="s">
        <v>2</v>
      </c>
      <c r="E4" s="60">
        <f>Input!E4</f>
        <v>44651</v>
      </c>
      <c r="F4" s="60">
        <f>Input!F4</f>
        <v>45016</v>
      </c>
      <c r="G4" s="60">
        <f>Input!G4</f>
        <v>45382</v>
      </c>
      <c r="H4" s="60">
        <f>Input!H4</f>
        <v>45747</v>
      </c>
      <c r="I4" s="60">
        <f>Input!I4</f>
        <v>46112</v>
      </c>
      <c r="J4" s="60">
        <f>Input!J4</f>
        <v>46477</v>
      </c>
      <c r="K4" s="60">
        <f>Input!K4</f>
        <v>46843</v>
      </c>
      <c r="L4" s="60">
        <f>Input!L4</f>
        <v>47208</v>
      </c>
      <c r="M4" s="60">
        <f>Input!M4</f>
        <v>47573</v>
      </c>
      <c r="N4" s="60">
        <f>Input!N4</f>
        <v>47938</v>
      </c>
      <c r="O4" s="60">
        <f>Input!O4</f>
        <v>48304</v>
      </c>
      <c r="P4" s="60">
        <f>Input!P4</f>
        <v>48669</v>
      </c>
      <c r="Q4" s="60">
        <f>Input!Q4</f>
        <v>49034</v>
      </c>
      <c r="R4" s="60">
        <f>Input!R4</f>
        <v>49399</v>
      </c>
      <c r="S4" s="60">
        <f>Input!S4</f>
        <v>49765</v>
      </c>
      <c r="T4" s="60">
        <f>Input!T4</f>
        <v>50130</v>
      </c>
      <c r="U4" s="60">
        <f>Input!U4</f>
        <v>50495</v>
      </c>
      <c r="V4" s="60">
        <f>Input!V4</f>
        <v>50860</v>
      </c>
      <c r="W4" s="60">
        <f>Input!W4</f>
        <v>51226</v>
      </c>
      <c r="X4" s="60">
        <f>Input!X4</f>
        <v>51591</v>
      </c>
      <c r="Y4" s="60">
        <f>Input!Y4</f>
        <v>51956</v>
      </c>
      <c r="Z4" s="60">
        <f>Input!Z4</f>
        <v>52321</v>
      </c>
      <c r="AA4" s="60">
        <f>Input!AA4</f>
        <v>52687</v>
      </c>
      <c r="AB4" s="60">
        <f>Input!AB4</f>
        <v>53052</v>
      </c>
      <c r="AC4" s="60">
        <f>Input!AC4</f>
        <v>53417</v>
      </c>
      <c r="AD4" s="60">
        <f>Input!AD4</f>
        <v>53782</v>
      </c>
      <c r="AE4" s="60">
        <f>Input!AE4</f>
        <v>54148</v>
      </c>
      <c r="AF4" s="61" t="s">
        <v>49</v>
      </c>
    </row>
    <row r="5" spans="3:32" ht="12.75">
      <c r="C5" s="5" t="s">
        <v>203</v>
      </c>
      <c r="D5" s="5" t="str">
        <f>Input!D31</f>
        <v>Rs. Crores</v>
      </c>
      <c r="E5" s="32">
        <f>Input!E145*Input!$E$136</f>
        <v>2.658897035714206</v>
      </c>
      <c r="F5" s="32">
        <f>Input!F145*Input!$E$136</f>
        <v>0</v>
      </c>
      <c r="G5" s="32">
        <f>Input!G145*Input!$E$136</f>
        <v>0</v>
      </c>
      <c r="H5" s="32">
        <f>Input!H145*Input!$E$136</f>
        <v>0</v>
      </c>
      <c r="I5" s="32">
        <f>Input!I145*Input!$E$136</f>
        <v>0</v>
      </c>
      <c r="J5" s="32">
        <f>Input!J145*Input!$E$136</f>
        <v>0</v>
      </c>
      <c r="K5" s="32">
        <f>Input!K145*Input!$E$136</f>
        <v>0</v>
      </c>
      <c r="L5" s="32">
        <f>Input!L145*Input!$E$136</f>
        <v>0</v>
      </c>
      <c r="M5" s="32">
        <f>Input!M145*Input!$E$136</f>
        <v>0</v>
      </c>
      <c r="N5" s="32">
        <f>Input!N145*Input!$E$136</f>
        <v>0</v>
      </c>
      <c r="O5" s="32">
        <f>Input!O145*Input!$E$136</f>
        <v>0</v>
      </c>
      <c r="P5" s="32">
        <f>Input!P145*Input!$E$136</f>
        <v>0</v>
      </c>
      <c r="Q5" s="32">
        <f>Input!Q145*Input!$E$136</f>
        <v>0</v>
      </c>
      <c r="R5" s="32">
        <f>Input!R145*Input!$E$136</f>
        <v>0</v>
      </c>
      <c r="S5" s="32">
        <f>Input!S145*Input!$E$136</f>
        <v>0</v>
      </c>
      <c r="T5" s="32">
        <f>Input!T145*Input!$E$136</f>
        <v>0</v>
      </c>
      <c r="U5" s="32">
        <f>Input!U145*Input!$E$136</f>
        <v>0</v>
      </c>
      <c r="V5" s="32">
        <f>Input!V145*Input!$E$136</f>
        <v>0</v>
      </c>
      <c r="W5" s="32">
        <f>Input!W145*Input!$E$136</f>
        <v>0</v>
      </c>
      <c r="X5" s="32">
        <f>Input!X145*Input!$E$136</f>
        <v>0</v>
      </c>
      <c r="Y5" s="32">
        <f>Input!Y145*Input!$E$136</f>
        <v>0</v>
      </c>
      <c r="Z5" s="32">
        <f>Input!Z145*Input!$E$136</f>
        <v>0</v>
      </c>
      <c r="AA5" s="32">
        <f>Input!AA145*Input!$E$136</f>
        <v>0</v>
      </c>
      <c r="AB5" s="32">
        <f>Input!AB145*Input!$E$136</f>
        <v>0</v>
      </c>
      <c r="AC5" s="32">
        <f>Input!AC145*Input!$E$136</f>
        <v>0</v>
      </c>
      <c r="AD5" s="32">
        <f>Input!AD145*Input!$E$136</f>
        <v>0</v>
      </c>
      <c r="AE5" s="32">
        <f>Input!AE145*Input!$E$136</f>
        <v>0</v>
      </c>
      <c r="AF5" s="99">
        <f>SUM(E5:H5)</f>
        <v>2.658897035714206</v>
      </c>
    </row>
    <row r="6" spans="3:32" ht="12.75">
      <c r="C6" s="5" t="s">
        <v>43</v>
      </c>
      <c r="D6" s="5" t="str">
        <f>D5</f>
        <v>Rs. Crores</v>
      </c>
      <c r="E6" s="32">
        <f>Input!E146*Input!$E$137</f>
        <v>1.6047705</v>
      </c>
      <c r="F6" s="32">
        <f>Input!F146*Input!$E$137</f>
        <v>6.419082</v>
      </c>
      <c r="G6" s="32">
        <f>Input!G146*Input!$E$137</f>
        <v>2.6746175</v>
      </c>
      <c r="H6" s="32">
        <f>Input!H146*Input!$E$137</f>
        <v>0</v>
      </c>
      <c r="I6" s="32">
        <f>Input!I146*Input!$E$137</f>
        <v>0</v>
      </c>
      <c r="J6" s="32">
        <f>Input!J146*Input!$E$137</f>
        <v>0</v>
      </c>
      <c r="K6" s="32">
        <f>Input!K146*Input!$E$137</f>
        <v>0</v>
      </c>
      <c r="L6" s="32">
        <f>Input!L146*Input!$E$137</f>
        <v>0</v>
      </c>
      <c r="M6" s="32">
        <f>Input!M146*Input!$E$137</f>
        <v>0</v>
      </c>
      <c r="N6" s="32">
        <f>Input!N146*Input!$E$137</f>
        <v>0</v>
      </c>
      <c r="O6" s="32">
        <f>Input!O146*Input!$E$137</f>
        <v>0</v>
      </c>
      <c r="P6" s="32">
        <v>2</v>
      </c>
      <c r="Q6" s="32">
        <f>Input!Q146*Input!$E$137</f>
        <v>0</v>
      </c>
      <c r="R6" s="32">
        <f>Input!R146*Input!$E$137</f>
        <v>0</v>
      </c>
      <c r="S6" s="32">
        <f>Input!S146*Input!$E$137</f>
        <v>0</v>
      </c>
      <c r="T6" s="32">
        <f>Input!T146*Input!$E$137</f>
        <v>0</v>
      </c>
      <c r="U6" s="32">
        <f>Input!U146*Input!$E$137</f>
        <v>0</v>
      </c>
      <c r="V6" s="32">
        <f>Input!V146*Input!$E$137</f>
        <v>0</v>
      </c>
      <c r="W6" s="32">
        <f>Input!W146*Input!$E$137</f>
        <v>0</v>
      </c>
      <c r="X6" s="32">
        <f>Input!X146*Input!$E$137</f>
        <v>0</v>
      </c>
      <c r="Y6" s="32">
        <v>2</v>
      </c>
      <c r="Z6" s="32">
        <f>Input!Z146*Input!$E$137</f>
        <v>0</v>
      </c>
      <c r="AA6" s="32">
        <f>Input!AA146*Input!$E$137</f>
        <v>0</v>
      </c>
      <c r="AB6" s="32">
        <f>Input!AB146*Input!$E$137</f>
        <v>0</v>
      </c>
      <c r="AC6" s="32">
        <f>Input!AC146*Input!$E$137</f>
        <v>0</v>
      </c>
      <c r="AD6" s="32">
        <f>Input!AD146*Input!$E$137</f>
        <v>0</v>
      </c>
      <c r="AE6" s="32">
        <f>Input!AE146*Input!$E$137</f>
        <v>0</v>
      </c>
      <c r="AF6" s="99">
        <f aca="true" t="shared" si="0" ref="AF6:AF12">SUM(E6:H6)</f>
        <v>10.69847</v>
      </c>
    </row>
    <row r="7" spans="3:32" ht="12.75">
      <c r="C7" s="5" t="s">
        <v>44</v>
      </c>
      <c r="D7" s="5" t="str">
        <f aca="true" t="shared" si="1" ref="D7:D12">D6</f>
        <v>Rs. Crores</v>
      </c>
      <c r="E7" s="32">
        <f>Input!E147*Input!$E$138</f>
        <v>11.374597499999998</v>
      </c>
      <c r="F7" s="32">
        <f>Input!F147*Input!$E$138</f>
        <v>22.749194999999997</v>
      </c>
      <c r="G7" s="32">
        <f>Input!G147*Input!$E$138</f>
        <v>3.791532500000003</v>
      </c>
      <c r="H7" s="32">
        <f>Input!H147*Input!$E$138</f>
        <v>0</v>
      </c>
      <c r="I7" s="32">
        <f>Input!I147*Input!$E$138</f>
        <v>0</v>
      </c>
      <c r="J7" s="32">
        <v>2</v>
      </c>
      <c r="K7" s="32">
        <f>Input!K147*Input!$E$138</f>
        <v>0</v>
      </c>
      <c r="L7" s="32">
        <f>Input!L147*Input!$E$138</f>
        <v>0</v>
      </c>
      <c r="M7" s="32">
        <v>3.5</v>
      </c>
      <c r="N7" s="32">
        <f>Input!N147*Input!$E$138</f>
        <v>0</v>
      </c>
      <c r="O7" s="32">
        <f>Input!O147*Input!$E$138</f>
        <v>0</v>
      </c>
      <c r="P7" s="32">
        <v>2</v>
      </c>
      <c r="Q7" s="32">
        <f>Input!Q147*Input!$E$138</f>
        <v>0</v>
      </c>
      <c r="R7" s="32">
        <f>Input!R147*Input!$E$138</f>
        <v>0</v>
      </c>
      <c r="S7" s="32">
        <v>3.5</v>
      </c>
      <c r="T7" s="32">
        <f>Input!T147*Input!$E$138</f>
        <v>0</v>
      </c>
      <c r="U7" s="32">
        <f>Input!U147*Input!$E$138</f>
        <v>0</v>
      </c>
      <c r="V7" s="32">
        <v>2</v>
      </c>
      <c r="W7" s="32">
        <f>Input!W147*Input!$E$138</f>
        <v>0</v>
      </c>
      <c r="X7" s="32">
        <f>Input!X147*Input!$E$138</f>
        <v>0</v>
      </c>
      <c r="Y7" s="32">
        <v>3.5</v>
      </c>
      <c r="Z7" s="32">
        <f>Input!Z147*Input!$E$138</f>
        <v>0</v>
      </c>
      <c r="AA7" s="32">
        <f>Input!AA147*Input!$E$138</f>
        <v>0</v>
      </c>
      <c r="AB7" s="32">
        <v>2</v>
      </c>
      <c r="AC7" s="32">
        <f>Input!AC147*Input!$E$138</f>
        <v>0</v>
      </c>
      <c r="AD7" s="32">
        <f>Input!AD147*Input!$E$138</f>
        <v>0</v>
      </c>
      <c r="AE7" s="32">
        <f>Input!AE147*Input!$E$138</f>
        <v>0</v>
      </c>
      <c r="AF7" s="99">
        <f t="shared" si="0"/>
        <v>37.915324999999996</v>
      </c>
    </row>
    <row r="8" spans="3:33" ht="12.75">
      <c r="C8" s="5" t="s">
        <v>45</v>
      </c>
      <c r="D8" s="5" t="str">
        <f t="shared" si="1"/>
        <v>Rs. Crores</v>
      </c>
      <c r="E8" s="32">
        <f>Input!E148*Input!$E$139</f>
        <v>0.09843649375</v>
      </c>
      <c r="F8" s="32">
        <f>Input!F148*Input!$E$139</f>
        <v>1.3781109125</v>
      </c>
      <c r="G8" s="32">
        <f>Input!G148*Input!$E$139</f>
        <v>0.49218246875</v>
      </c>
      <c r="H8" s="32">
        <f>Input!H148*Input!$E$139</f>
        <v>0</v>
      </c>
      <c r="I8" s="32">
        <f>Input!I148*Input!$E$139</f>
        <v>0</v>
      </c>
      <c r="J8" s="32">
        <v>0.1</v>
      </c>
      <c r="K8" s="32">
        <f>Input!K148*Input!$E$139</f>
        <v>0</v>
      </c>
      <c r="L8" s="32">
        <f>Input!L148*Input!$E$139</f>
        <v>0</v>
      </c>
      <c r="M8" s="32">
        <f>Input!M148*Input!$E$139</f>
        <v>0</v>
      </c>
      <c r="N8" s="32">
        <f>Input!N148*Input!$E$139</f>
        <v>0</v>
      </c>
      <c r="O8" s="32">
        <v>0.1</v>
      </c>
      <c r="P8" s="32">
        <f>Input!P148*Input!$E$139</f>
        <v>0</v>
      </c>
      <c r="Q8" s="32">
        <f>Input!Q148*Input!$E$139</f>
        <v>0</v>
      </c>
      <c r="R8" s="32">
        <f>Input!R148*Input!$E$139</f>
        <v>0</v>
      </c>
      <c r="S8" s="32">
        <f>Input!S148*Input!$E$139</f>
        <v>0</v>
      </c>
      <c r="T8" s="32">
        <v>0.25</v>
      </c>
      <c r="U8" s="32">
        <f>Input!U148*Input!$E$139</f>
        <v>0</v>
      </c>
      <c r="V8" s="32">
        <f>Input!V148*Input!$E$139</f>
        <v>0</v>
      </c>
      <c r="W8" s="32">
        <f>Input!W148*Input!$E$139</f>
        <v>0</v>
      </c>
      <c r="X8" s="32">
        <f>Input!X148*Input!$E$139</f>
        <v>0</v>
      </c>
      <c r="Y8" s="32">
        <v>0.1</v>
      </c>
      <c r="Z8" s="32">
        <f>Input!Z148*Input!$E$139</f>
        <v>0</v>
      </c>
      <c r="AA8" s="32">
        <f>Input!AA148*Input!$E$139</f>
        <v>0</v>
      </c>
      <c r="AB8" s="32">
        <f>Input!AB148*Input!$E$139</f>
        <v>0</v>
      </c>
      <c r="AC8" s="32">
        <f>Input!AC148*Input!$E$139</f>
        <v>0</v>
      </c>
      <c r="AD8" s="32">
        <v>0.25</v>
      </c>
      <c r="AE8" s="32">
        <f>Input!AE148*Input!$E$139</f>
        <v>0</v>
      </c>
      <c r="AF8" s="99">
        <f t="shared" si="0"/>
        <v>1.968729875</v>
      </c>
      <c r="AG8" s="10"/>
    </row>
    <row r="9" spans="3:32" ht="12.75">
      <c r="C9" s="11" t="s">
        <v>52</v>
      </c>
      <c r="D9" s="5" t="str">
        <f t="shared" si="1"/>
        <v>Rs. Crores</v>
      </c>
      <c r="E9" s="32">
        <f>Input!E149*Input!$E$140</f>
        <v>1.6715011285343468</v>
      </c>
      <c r="F9" s="32">
        <f>Input!F149*Input!$E$140</f>
        <v>2.2286681713791294</v>
      </c>
      <c r="G9" s="32">
        <f>Input!G149*Input!$E$140</f>
        <v>1.6715011285343473</v>
      </c>
      <c r="H9" s="32">
        <f>Input!H149*Input!$E$140</f>
        <v>0</v>
      </c>
      <c r="I9" s="32">
        <f>Input!I149*Input!$E$140</f>
        <v>0</v>
      </c>
      <c r="J9" s="32">
        <f>Input!J149*Input!$E$140</f>
        <v>0</v>
      </c>
      <c r="K9" s="32">
        <f>Input!K149*Input!$E$140</f>
        <v>0</v>
      </c>
      <c r="L9" s="32">
        <f>Input!L149*Input!$E$140</f>
        <v>0</v>
      </c>
      <c r="M9" s="32">
        <f>Input!M149*Input!$E$140</f>
        <v>0</v>
      </c>
      <c r="N9" s="32">
        <f>Input!N149*Input!$E$140</f>
        <v>0</v>
      </c>
      <c r="O9" s="32">
        <f>Input!O149*Input!$E$140</f>
        <v>0</v>
      </c>
      <c r="P9" s="32">
        <f>Input!P149*Input!$E$140</f>
        <v>0</v>
      </c>
      <c r="Q9" s="32">
        <f>Input!Q149*Input!$E$140</f>
        <v>0</v>
      </c>
      <c r="R9" s="32">
        <f>Input!R149*Input!$E$140</f>
        <v>0</v>
      </c>
      <c r="S9" s="32">
        <f>Input!S149*Input!$E$140</f>
        <v>0</v>
      </c>
      <c r="T9" s="32">
        <f>Input!T149*Input!$E$140</f>
        <v>0</v>
      </c>
      <c r="U9" s="32">
        <f>Input!U149*Input!$E$140</f>
        <v>0</v>
      </c>
      <c r="V9" s="32">
        <f>Input!V149*Input!$E$140</f>
        <v>0</v>
      </c>
      <c r="W9" s="32">
        <f>Input!W149*Input!$E$140</f>
        <v>0</v>
      </c>
      <c r="X9" s="32">
        <f>Input!X149*Input!$E$140</f>
        <v>0</v>
      </c>
      <c r="Y9" s="32">
        <f>Input!Y149*Input!$E$140</f>
        <v>0</v>
      </c>
      <c r="Z9" s="32">
        <f>Input!Z149*Input!$E$140</f>
        <v>0</v>
      </c>
      <c r="AA9" s="32">
        <f>Input!AA149*Input!$E$140</f>
        <v>0</v>
      </c>
      <c r="AB9" s="32">
        <f>Input!AB149*Input!$E$140</f>
        <v>0</v>
      </c>
      <c r="AC9" s="32">
        <f>Input!AC149*Input!$E$140</f>
        <v>0</v>
      </c>
      <c r="AD9" s="32">
        <f>Input!AD149*Input!$E$140</f>
        <v>0</v>
      </c>
      <c r="AE9" s="32">
        <f>Input!AE149*Input!$E$140</f>
        <v>0</v>
      </c>
      <c r="AF9" s="99">
        <f t="shared" si="0"/>
        <v>5.571670428447824</v>
      </c>
    </row>
    <row r="10" spans="3:32" ht="12.75">
      <c r="C10" s="11" t="s">
        <v>55</v>
      </c>
      <c r="D10" s="5" t="str">
        <f t="shared" si="1"/>
        <v>Rs. Crores</v>
      </c>
      <c r="E10" s="32">
        <f>Interest!E41</f>
        <v>0.4122078347579696</v>
      </c>
      <c r="F10" s="32">
        <f>Interest!F41</f>
        <v>3.3280909012741073</v>
      </c>
      <c r="G10" s="32">
        <f>Interest!G41</f>
        <v>2.7876945855426567</v>
      </c>
      <c r="H10" s="32">
        <f>Interest!H41</f>
        <v>0</v>
      </c>
      <c r="I10" s="32">
        <f>Interest!I41</f>
        <v>0</v>
      </c>
      <c r="J10" s="32">
        <f>Interest!J41</f>
        <v>0</v>
      </c>
      <c r="K10" s="32">
        <f>Interest!K41</f>
        <v>0</v>
      </c>
      <c r="L10" s="32">
        <f>Interest!L41</f>
        <v>0</v>
      </c>
      <c r="M10" s="32">
        <f>Interest!M41</f>
        <v>0</v>
      </c>
      <c r="N10" s="32">
        <f>Interest!N41</f>
        <v>0</v>
      </c>
      <c r="O10" s="32">
        <f>Interest!O41</f>
        <v>0</v>
      </c>
      <c r="P10" s="32">
        <f>Interest!P41</f>
        <v>0</v>
      </c>
      <c r="Q10" s="32">
        <f>Interest!Q41</f>
        <v>0</v>
      </c>
      <c r="R10" s="32">
        <f>Interest!R41</f>
        <v>0</v>
      </c>
      <c r="S10" s="32">
        <f>Interest!S41</f>
        <v>0</v>
      </c>
      <c r="T10" s="32">
        <f>Interest!T41</f>
        <v>0</v>
      </c>
      <c r="U10" s="32">
        <f>Interest!U41</f>
        <v>0</v>
      </c>
      <c r="V10" s="32">
        <f>Interest!V41</f>
        <v>0</v>
      </c>
      <c r="W10" s="32">
        <f>Interest!W41</f>
        <v>0</v>
      </c>
      <c r="X10" s="32">
        <f>Interest!X41</f>
        <v>0</v>
      </c>
      <c r="Y10" s="32">
        <f>Interest!Y41</f>
        <v>0</v>
      </c>
      <c r="Z10" s="32">
        <f>Interest!Z41</f>
        <v>0</v>
      </c>
      <c r="AA10" s="32">
        <f>Interest!AA41</f>
        <v>0</v>
      </c>
      <c r="AB10" s="32">
        <f>Interest!AB41</f>
        <v>0</v>
      </c>
      <c r="AC10" s="32">
        <f>Interest!AC41</f>
        <v>0</v>
      </c>
      <c r="AD10" s="32">
        <f>Interest!AD41</f>
        <v>0</v>
      </c>
      <c r="AE10" s="32">
        <f>Interest!AE41</f>
        <v>0</v>
      </c>
      <c r="AF10" s="99">
        <f t="shared" si="0"/>
        <v>6.527993321574733</v>
      </c>
    </row>
    <row r="11" spans="3:34" ht="12" customHeight="1">
      <c r="C11" s="11" t="s">
        <v>56</v>
      </c>
      <c r="D11" s="5" t="str">
        <f t="shared" si="1"/>
        <v>Rs. Crores</v>
      </c>
      <c r="E11" s="32">
        <f>SUM(E6:E8)*Input!$E$130</f>
        <v>0.6538902246875</v>
      </c>
      <c r="F11" s="32">
        <f>SUM(F6:F8)*Input!$E$130</f>
        <v>1.5273193956249997</v>
      </c>
      <c r="G11" s="32">
        <f>SUM(G6:G8)*Input!$E$130</f>
        <v>0.3479166234375002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99">
        <f t="shared" si="0"/>
        <v>2.5291262437500004</v>
      </c>
      <c r="AG11" s="10"/>
      <c r="AH11" s="10"/>
    </row>
    <row r="12" spans="3:32" s="15" customFormat="1" ht="12.75">
      <c r="C12" s="11" t="s">
        <v>57</v>
      </c>
      <c r="D12" s="5" t="str">
        <f t="shared" si="1"/>
        <v>Rs. Crores</v>
      </c>
      <c r="E12" s="32"/>
      <c r="F12" s="32"/>
      <c r="G12" s="32">
        <f>WC!G12</f>
        <v>0.9637139067658085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99">
        <f t="shared" si="0"/>
        <v>0.9637139067658085</v>
      </c>
    </row>
    <row r="13" spans="3:33" s="1" customFormat="1" ht="12.75">
      <c r="C13" s="20" t="s">
        <v>49</v>
      </c>
      <c r="D13" s="20" t="str">
        <f>D12</f>
        <v>Rs. Crores</v>
      </c>
      <c r="E13" s="38">
        <f aca="true" t="shared" si="2" ref="E13:O13">SUM(E5:E12)</f>
        <v>18.47430071744402</v>
      </c>
      <c r="F13" s="38">
        <f t="shared" si="2"/>
        <v>37.63046638077823</v>
      </c>
      <c r="G13" s="38">
        <f t="shared" si="2"/>
        <v>12.729158713030316</v>
      </c>
      <c r="H13" s="38">
        <f t="shared" si="2"/>
        <v>0</v>
      </c>
      <c r="I13" s="38">
        <f t="shared" si="2"/>
        <v>0</v>
      </c>
      <c r="J13" s="38">
        <f t="shared" si="2"/>
        <v>2.1</v>
      </c>
      <c r="K13" s="38">
        <f t="shared" si="2"/>
        <v>0</v>
      </c>
      <c r="L13" s="38">
        <f t="shared" si="2"/>
        <v>0</v>
      </c>
      <c r="M13" s="38">
        <f t="shared" si="2"/>
        <v>3.5</v>
      </c>
      <c r="N13" s="38">
        <f t="shared" si="2"/>
        <v>0</v>
      </c>
      <c r="O13" s="38">
        <f t="shared" si="2"/>
        <v>0.1</v>
      </c>
      <c r="P13" s="38">
        <f aca="true" t="shared" si="3" ref="P13:AE13">SUM(P5:P12)</f>
        <v>4</v>
      </c>
      <c r="Q13" s="38">
        <f t="shared" si="3"/>
        <v>0</v>
      </c>
      <c r="R13" s="38">
        <f t="shared" si="3"/>
        <v>0</v>
      </c>
      <c r="S13" s="38">
        <f t="shared" si="3"/>
        <v>3.5</v>
      </c>
      <c r="T13" s="38">
        <f t="shared" si="3"/>
        <v>0.25</v>
      </c>
      <c r="U13" s="38">
        <f t="shared" si="3"/>
        <v>0</v>
      </c>
      <c r="V13" s="38">
        <f t="shared" si="3"/>
        <v>2</v>
      </c>
      <c r="W13" s="38">
        <f t="shared" si="3"/>
        <v>0</v>
      </c>
      <c r="X13" s="38">
        <f t="shared" si="3"/>
        <v>0</v>
      </c>
      <c r="Y13" s="38">
        <f t="shared" si="3"/>
        <v>5.6</v>
      </c>
      <c r="Z13" s="38">
        <f t="shared" si="3"/>
        <v>0</v>
      </c>
      <c r="AA13" s="38">
        <f t="shared" si="3"/>
        <v>0</v>
      </c>
      <c r="AB13" s="38">
        <f t="shared" si="3"/>
        <v>2</v>
      </c>
      <c r="AC13" s="38">
        <f t="shared" si="3"/>
        <v>0</v>
      </c>
      <c r="AD13" s="38">
        <f t="shared" si="3"/>
        <v>0.25</v>
      </c>
      <c r="AE13" s="38">
        <f t="shared" si="3"/>
        <v>0</v>
      </c>
      <c r="AF13" s="100">
        <f>SUM(AF5:AF12)</f>
        <v>68.83392581125256</v>
      </c>
      <c r="AG13" s="69">
        <f>AF13-AF12</f>
        <v>67.87021190448675</v>
      </c>
    </row>
    <row r="14" ht="12.75">
      <c r="AH14" s="10"/>
    </row>
    <row r="15" ht="12.75">
      <c r="C15" s="1" t="s">
        <v>62</v>
      </c>
    </row>
    <row r="17" spans="3:32" ht="12.75">
      <c r="C17" s="59" t="s">
        <v>1</v>
      </c>
      <c r="D17" s="59" t="s">
        <v>2</v>
      </c>
      <c r="E17" s="60">
        <f>E4</f>
        <v>44651</v>
      </c>
      <c r="F17" s="60">
        <f aca="true" t="shared" si="4" ref="F17:Q17">F4</f>
        <v>45016</v>
      </c>
      <c r="G17" s="60">
        <f t="shared" si="4"/>
        <v>45382</v>
      </c>
      <c r="H17" s="60">
        <f t="shared" si="4"/>
        <v>45747</v>
      </c>
      <c r="I17" s="60">
        <f t="shared" si="4"/>
        <v>46112</v>
      </c>
      <c r="J17" s="60">
        <f t="shared" si="4"/>
        <v>46477</v>
      </c>
      <c r="K17" s="60">
        <f t="shared" si="4"/>
        <v>46843</v>
      </c>
      <c r="L17" s="60">
        <f t="shared" si="4"/>
        <v>47208</v>
      </c>
      <c r="M17" s="60">
        <f t="shared" si="4"/>
        <v>47573</v>
      </c>
      <c r="N17" s="60">
        <f t="shared" si="4"/>
        <v>47938</v>
      </c>
      <c r="O17" s="60">
        <f t="shared" si="4"/>
        <v>48304</v>
      </c>
      <c r="P17" s="60">
        <f t="shared" si="4"/>
        <v>48669</v>
      </c>
      <c r="Q17" s="60">
        <f t="shared" si="4"/>
        <v>49034</v>
      </c>
      <c r="R17" s="60">
        <f aca="true" t="shared" si="5" ref="R17:AE17">R4</f>
        <v>49399</v>
      </c>
      <c r="S17" s="60">
        <f t="shared" si="5"/>
        <v>49765</v>
      </c>
      <c r="T17" s="60">
        <f t="shared" si="5"/>
        <v>50130</v>
      </c>
      <c r="U17" s="60">
        <f t="shared" si="5"/>
        <v>50495</v>
      </c>
      <c r="V17" s="60">
        <f t="shared" si="5"/>
        <v>50860</v>
      </c>
      <c r="W17" s="60">
        <f t="shared" si="5"/>
        <v>51226</v>
      </c>
      <c r="X17" s="60">
        <f t="shared" si="5"/>
        <v>51591</v>
      </c>
      <c r="Y17" s="60">
        <f t="shared" si="5"/>
        <v>51956</v>
      </c>
      <c r="Z17" s="60">
        <f t="shared" si="5"/>
        <v>52321</v>
      </c>
      <c r="AA17" s="60">
        <f t="shared" si="5"/>
        <v>52687</v>
      </c>
      <c r="AB17" s="60">
        <f t="shared" si="5"/>
        <v>53052</v>
      </c>
      <c r="AC17" s="60">
        <f t="shared" si="5"/>
        <v>53417</v>
      </c>
      <c r="AD17" s="60">
        <f t="shared" si="5"/>
        <v>53782</v>
      </c>
      <c r="AE17" s="60">
        <f t="shared" si="5"/>
        <v>54148</v>
      </c>
      <c r="AF17" s="61" t="s">
        <v>49</v>
      </c>
    </row>
    <row r="18" spans="3:32" ht="12.75">
      <c r="C18" s="5" t="s">
        <v>63</v>
      </c>
      <c r="D18" s="5" t="str">
        <f>D12</f>
        <v>Rs. Crores</v>
      </c>
      <c r="E18" s="98">
        <f>E13-E19</f>
        <v>2.7711451076166043</v>
      </c>
      <c r="F18" s="98">
        <f aca="true" t="shared" si="6" ref="F18:Q18">F13-F19</f>
        <v>5.644569957116733</v>
      </c>
      <c r="G18" s="98">
        <f t="shared" si="6"/>
        <v>1.9093738069545463</v>
      </c>
      <c r="H18" s="98">
        <f t="shared" si="6"/>
        <v>0</v>
      </c>
      <c r="I18" s="98">
        <f t="shared" si="6"/>
        <v>0</v>
      </c>
      <c r="J18" s="98">
        <f t="shared" si="6"/>
        <v>2.1</v>
      </c>
      <c r="K18" s="98">
        <f t="shared" si="6"/>
        <v>0</v>
      </c>
      <c r="L18" s="98">
        <f t="shared" si="6"/>
        <v>0</v>
      </c>
      <c r="M18" s="98">
        <f t="shared" si="6"/>
        <v>3.5</v>
      </c>
      <c r="N18" s="98">
        <f t="shared" si="6"/>
        <v>0</v>
      </c>
      <c r="O18" s="98">
        <f t="shared" si="6"/>
        <v>0.1</v>
      </c>
      <c r="P18" s="98">
        <f t="shared" si="6"/>
        <v>4</v>
      </c>
      <c r="Q18" s="98">
        <f t="shared" si="6"/>
        <v>0</v>
      </c>
      <c r="R18" s="98">
        <f aca="true" t="shared" si="7" ref="R18:AE18">R13-R19</f>
        <v>0</v>
      </c>
      <c r="S18" s="98">
        <f t="shared" si="7"/>
        <v>3.5</v>
      </c>
      <c r="T18" s="98">
        <f t="shared" si="7"/>
        <v>0.25</v>
      </c>
      <c r="U18" s="98">
        <f t="shared" si="7"/>
        <v>0</v>
      </c>
      <c r="V18" s="98">
        <f t="shared" si="7"/>
        <v>2</v>
      </c>
      <c r="W18" s="98">
        <f t="shared" si="7"/>
        <v>0</v>
      </c>
      <c r="X18" s="98">
        <f t="shared" si="7"/>
        <v>0</v>
      </c>
      <c r="Y18" s="98">
        <f t="shared" si="7"/>
        <v>5.6</v>
      </c>
      <c r="Z18" s="98">
        <f t="shared" si="7"/>
        <v>0</v>
      </c>
      <c r="AA18" s="98">
        <f t="shared" si="7"/>
        <v>0</v>
      </c>
      <c r="AB18" s="98">
        <f t="shared" si="7"/>
        <v>2</v>
      </c>
      <c r="AC18" s="98">
        <f t="shared" si="7"/>
        <v>0</v>
      </c>
      <c r="AD18" s="98">
        <f t="shared" si="7"/>
        <v>0.25</v>
      </c>
      <c r="AE18" s="98">
        <f t="shared" si="7"/>
        <v>0</v>
      </c>
      <c r="AF18" s="99">
        <f>SUM(E18:H18)</f>
        <v>10.325088871687884</v>
      </c>
    </row>
    <row r="19" spans="3:34" ht="12.75">
      <c r="C19" s="5" t="s">
        <v>64</v>
      </c>
      <c r="D19" s="5" t="str">
        <f>D18</f>
        <v>Rs. Crores</v>
      </c>
      <c r="E19" s="98">
        <f>E13*Input!$E$97/(1+Input!$E$97)</f>
        <v>15.703155609827416</v>
      </c>
      <c r="F19" s="98">
        <f>F13*Input!$E$97/(1+Input!$E$97)</f>
        <v>31.985896423661497</v>
      </c>
      <c r="G19" s="98">
        <f>G13*Input!$E$97/(1+Input!$E$97)</f>
        <v>10.81978490607577</v>
      </c>
      <c r="H19" s="98">
        <f>H13*Input!$E$97/(1+Input!$E$97)</f>
        <v>0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9">
        <f>SUM(E19:H19)</f>
        <v>58.50883693956468</v>
      </c>
      <c r="AG19" s="4"/>
      <c r="AH19" s="37">
        <f>AF19/(AF18)</f>
        <v>5.666666666666667</v>
      </c>
    </row>
    <row r="20" spans="3:34" ht="12.75">
      <c r="C20" s="5" t="s">
        <v>65</v>
      </c>
      <c r="D20" s="20" t="str">
        <f>D19</f>
        <v>Rs. Crores</v>
      </c>
      <c r="E20" s="38">
        <f>SUM(E18:E19)</f>
        <v>18.47430071744402</v>
      </c>
      <c r="F20" s="38">
        <f>SUM(F18:F19)</f>
        <v>37.63046638077823</v>
      </c>
      <c r="G20" s="38">
        <f aca="true" t="shared" si="8" ref="G20:O20">G13</f>
        <v>12.729158713030316</v>
      </c>
      <c r="H20" s="38">
        <f t="shared" si="8"/>
        <v>0</v>
      </c>
      <c r="I20" s="38">
        <f t="shared" si="8"/>
        <v>0</v>
      </c>
      <c r="J20" s="38">
        <f t="shared" si="8"/>
        <v>2.1</v>
      </c>
      <c r="K20" s="38">
        <f t="shared" si="8"/>
        <v>0</v>
      </c>
      <c r="L20" s="38">
        <f t="shared" si="8"/>
        <v>0</v>
      </c>
      <c r="M20" s="38">
        <f t="shared" si="8"/>
        <v>3.5</v>
      </c>
      <c r="N20" s="38">
        <f t="shared" si="8"/>
        <v>0</v>
      </c>
      <c r="O20" s="38">
        <f t="shared" si="8"/>
        <v>0.1</v>
      </c>
      <c r="P20" s="38">
        <f aca="true" t="shared" si="9" ref="P20:AE20">P13</f>
        <v>4</v>
      </c>
      <c r="Q20" s="38">
        <f t="shared" si="9"/>
        <v>0</v>
      </c>
      <c r="R20" s="38">
        <f t="shared" si="9"/>
        <v>0</v>
      </c>
      <c r="S20" s="38">
        <f t="shared" si="9"/>
        <v>3.5</v>
      </c>
      <c r="T20" s="38">
        <f t="shared" si="9"/>
        <v>0.25</v>
      </c>
      <c r="U20" s="38">
        <f t="shared" si="9"/>
        <v>0</v>
      </c>
      <c r="V20" s="38">
        <f t="shared" si="9"/>
        <v>2</v>
      </c>
      <c r="W20" s="38">
        <f t="shared" si="9"/>
        <v>0</v>
      </c>
      <c r="X20" s="38">
        <f t="shared" si="9"/>
        <v>0</v>
      </c>
      <c r="Y20" s="38">
        <f t="shared" si="9"/>
        <v>5.6</v>
      </c>
      <c r="Z20" s="38">
        <f t="shared" si="9"/>
        <v>0</v>
      </c>
      <c r="AA20" s="38">
        <f t="shared" si="9"/>
        <v>0</v>
      </c>
      <c r="AB20" s="38">
        <f t="shared" si="9"/>
        <v>2</v>
      </c>
      <c r="AC20" s="38">
        <f t="shared" si="9"/>
        <v>0</v>
      </c>
      <c r="AD20" s="38">
        <f t="shared" si="9"/>
        <v>0.25</v>
      </c>
      <c r="AE20" s="38">
        <f t="shared" si="9"/>
        <v>0</v>
      </c>
      <c r="AF20" s="100">
        <f>SUM(E20:O20)</f>
        <v>74.53392581125256</v>
      </c>
      <c r="AH20" s="4">
        <f>65/35</f>
        <v>1.8571428571428572</v>
      </c>
    </row>
    <row r="22" ht="12.75">
      <c r="AF22" s="10">
        <f>SUM(AF18:AF18)</f>
        <v>10.325088871687884</v>
      </c>
    </row>
  </sheetData>
  <sheetProtection/>
  <mergeCells count="1">
    <mergeCell ref="S1:T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E36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E34" sqref="E34:AE34"/>
    </sheetView>
  </sheetViews>
  <sheetFormatPr defaultColWidth="9.140625" defaultRowHeight="12.75"/>
  <cols>
    <col min="3" max="3" width="29.421875" style="0" bestFit="1" customWidth="1"/>
    <col min="4" max="4" width="10.140625" style="0" customWidth="1"/>
    <col min="5" max="6" width="9.57421875" style="0" customWidth="1"/>
    <col min="7" max="7" width="9.57421875" style="0" bestFit="1" customWidth="1"/>
    <col min="8" max="8" width="10.28125" style="0" bestFit="1" customWidth="1"/>
    <col min="9" max="15" width="9.57421875" style="0" bestFit="1" customWidth="1"/>
    <col min="16" max="17" width="9.57421875" style="0" customWidth="1"/>
    <col min="18" max="31" width="9.57421875" style="0" bestFit="1" customWidth="1"/>
  </cols>
  <sheetData>
    <row r="2" ht="12.75">
      <c r="C2" s="1" t="s">
        <v>31</v>
      </c>
    </row>
    <row r="3" spans="5:31" ht="12.75">
      <c r="E3">
        <f>WC!E3</f>
        <v>0</v>
      </c>
      <c r="F3">
        <f>WC!F3</f>
        <v>0</v>
      </c>
      <c r="G3" s="53">
        <f>G4-F4</f>
        <v>366</v>
      </c>
      <c r="H3" s="53">
        <f>H4-G4</f>
        <v>365</v>
      </c>
      <c r="I3" s="53">
        <f aca="true" t="shared" si="0" ref="I3:Q3">I4-H4</f>
        <v>365</v>
      </c>
      <c r="J3" s="53">
        <f t="shared" si="0"/>
        <v>365</v>
      </c>
      <c r="K3" s="53">
        <f t="shared" si="0"/>
        <v>366</v>
      </c>
      <c r="L3" s="53">
        <f t="shared" si="0"/>
        <v>365</v>
      </c>
      <c r="M3" s="53">
        <f t="shared" si="0"/>
        <v>365</v>
      </c>
      <c r="N3" s="53">
        <f t="shared" si="0"/>
        <v>365</v>
      </c>
      <c r="O3" s="53">
        <f t="shared" si="0"/>
        <v>366</v>
      </c>
      <c r="P3" s="53">
        <f t="shared" si="0"/>
        <v>365</v>
      </c>
      <c r="Q3" s="53">
        <f t="shared" si="0"/>
        <v>365</v>
      </c>
      <c r="R3" s="53">
        <f>R4-Q4</f>
        <v>365</v>
      </c>
      <c r="S3" s="53">
        <f>S4-R4</f>
        <v>366</v>
      </c>
      <c r="T3" s="53">
        <f>T4-S4</f>
        <v>365</v>
      </c>
      <c r="U3" s="53">
        <f>U4-T4</f>
        <v>365</v>
      </c>
      <c r="V3" s="53">
        <f>V4-U4</f>
        <v>365</v>
      </c>
      <c r="W3" s="53">
        <f>W4-V4</f>
        <v>366</v>
      </c>
      <c r="X3" s="53">
        <f>X4-W4</f>
        <v>365</v>
      </c>
      <c r="Y3" s="53">
        <f>Y4-X4</f>
        <v>365</v>
      </c>
      <c r="Z3" s="53">
        <f>Z4-Y4</f>
        <v>365</v>
      </c>
      <c r="AA3" s="53">
        <f>AA4-Z4</f>
        <v>366</v>
      </c>
      <c r="AB3" s="53">
        <f>AB4-AA4</f>
        <v>365</v>
      </c>
      <c r="AC3" s="53">
        <f>AC4-AB4</f>
        <v>365</v>
      </c>
      <c r="AD3" s="53">
        <f>AD4-AC4</f>
        <v>365</v>
      </c>
      <c r="AE3" s="53">
        <f>AE4-AD4</f>
        <v>366</v>
      </c>
    </row>
    <row r="4" spans="3:31" ht="12.75">
      <c r="C4" s="59" t="s">
        <v>1</v>
      </c>
      <c r="D4" s="59" t="s">
        <v>2</v>
      </c>
      <c r="E4" s="60">
        <f>Input!E4</f>
        <v>44651</v>
      </c>
      <c r="F4" s="60">
        <f>Input!F4</f>
        <v>45016</v>
      </c>
      <c r="G4" s="60">
        <f>Input!G4</f>
        <v>45382</v>
      </c>
      <c r="H4" s="60">
        <f>Input!H4</f>
        <v>45747</v>
      </c>
      <c r="I4" s="60">
        <f>Input!I4</f>
        <v>46112</v>
      </c>
      <c r="J4" s="60">
        <f>Input!J4</f>
        <v>46477</v>
      </c>
      <c r="K4" s="60">
        <f>Input!K4</f>
        <v>46843</v>
      </c>
      <c r="L4" s="60">
        <f>Input!L4</f>
        <v>47208</v>
      </c>
      <c r="M4" s="60">
        <f>Input!M4</f>
        <v>47573</v>
      </c>
      <c r="N4" s="60">
        <f>Input!N4</f>
        <v>47938</v>
      </c>
      <c r="O4" s="60">
        <f>Input!O4</f>
        <v>48304</v>
      </c>
      <c r="P4" s="60">
        <f>Input!P4</f>
        <v>48669</v>
      </c>
      <c r="Q4" s="60">
        <f>Input!Q4</f>
        <v>49034</v>
      </c>
      <c r="R4" s="60">
        <f>Input!R4</f>
        <v>49399</v>
      </c>
      <c r="S4" s="60">
        <f>Input!S4</f>
        <v>49765</v>
      </c>
      <c r="T4" s="60">
        <f>Input!T4</f>
        <v>50130</v>
      </c>
      <c r="U4" s="60">
        <f>Input!U4</f>
        <v>50495</v>
      </c>
      <c r="V4" s="60">
        <f>Input!V4</f>
        <v>50860</v>
      </c>
      <c r="W4" s="60">
        <f>Input!W4</f>
        <v>51226</v>
      </c>
      <c r="X4" s="60">
        <f>Input!X4</f>
        <v>51591</v>
      </c>
      <c r="Y4" s="60">
        <f>Input!Y4</f>
        <v>51956</v>
      </c>
      <c r="Z4" s="60">
        <f>Input!Z4</f>
        <v>52321</v>
      </c>
      <c r="AA4" s="60">
        <f>Input!AA4</f>
        <v>52687</v>
      </c>
      <c r="AB4" s="60">
        <f>Input!AB4</f>
        <v>53052</v>
      </c>
      <c r="AC4" s="60">
        <f>Input!AC4</f>
        <v>53417</v>
      </c>
      <c r="AD4" s="60">
        <f>Input!AD4</f>
        <v>53782</v>
      </c>
      <c r="AE4" s="60">
        <f>Input!AE4</f>
        <v>54148</v>
      </c>
    </row>
    <row r="5" spans="3:31" ht="12.75">
      <c r="C5" s="5" t="s">
        <v>21</v>
      </c>
      <c r="D5" s="5" t="s">
        <v>22</v>
      </c>
      <c r="E5" s="19">
        <f>Input!E21*Input!E29/cr</f>
        <v>0</v>
      </c>
      <c r="F5" s="19">
        <f>Input!F21*Input!F29/cr</f>
        <v>0</v>
      </c>
      <c r="G5" s="19">
        <f>Input!G21*Input!G29/cr</f>
        <v>33.5741371875</v>
      </c>
      <c r="H5" s="19">
        <f>Input!H21*Input!H29/cr</f>
        <v>35.812413</v>
      </c>
      <c r="I5" s="19">
        <f>Input!I21*Input!I29/cr</f>
        <v>38.05068881250001</v>
      </c>
      <c r="J5" s="19">
        <f>Input!J21*Input!J29/cr</f>
        <v>40.28896462500001</v>
      </c>
      <c r="K5" s="19">
        <f>Input!K21*Input!K29/cr</f>
        <v>40.288964625</v>
      </c>
      <c r="L5" s="19">
        <f>Input!L21*Input!L29/cr</f>
        <v>40.288964625</v>
      </c>
      <c r="M5" s="19">
        <f>Input!M21*Input!M29/cr</f>
        <v>40.288964625</v>
      </c>
      <c r="N5" s="19">
        <f>Input!N21*Input!N29/cr</f>
        <v>40.288964625</v>
      </c>
      <c r="O5" s="19">
        <f>Input!O21*Input!O29/cr</f>
        <v>40.288964625</v>
      </c>
      <c r="P5" s="19">
        <f>Input!P21*Input!P29/cr</f>
        <v>40.288964625</v>
      </c>
      <c r="Q5" s="19">
        <f>Input!Q21*Input!Q29/cr</f>
        <v>40.288964625</v>
      </c>
      <c r="R5" s="19">
        <f>Input!R21*Input!R29/cr</f>
        <v>40.288964625</v>
      </c>
      <c r="S5" s="19">
        <f>Input!S21*Input!S29/cr</f>
        <v>40.288964625</v>
      </c>
      <c r="T5" s="19">
        <f>Input!T21*Input!T29/cr</f>
        <v>40.288964625</v>
      </c>
      <c r="U5" s="19">
        <f>Input!U21*Input!U29/cr</f>
        <v>40.288964625</v>
      </c>
      <c r="V5" s="19">
        <f>Input!V21*Input!V29/cr</f>
        <v>40.288964625</v>
      </c>
      <c r="W5" s="19">
        <f>Input!W21*Input!W29/cr</f>
        <v>40.288964625</v>
      </c>
      <c r="X5" s="19">
        <f>Input!X21*Input!X29/cr</f>
        <v>40.288964625</v>
      </c>
      <c r="Y5" s="19">
        <f>Input!Y21*Input!Y29/cr</f>
        <v>40.288964625</v>
      </c>
      <c r="Z5" s="19">
        <f>Input!Z21*Input!Z29/cr</f>
        <v>40.288964625</v>
      </c>
      <c r="AA5" s="19">
        <f>Input!AA21*Input!AA29/cr</f>
        <v>40.288964625</v>
      </c>
      <c r="AB5" s="19">
        <f>Input!AB21*Input!AB29/cr</f>
        <v>40.288964625</v>
      </c>
      <c r="AC5" s="19">
        <f>Input!AC21*Input!AC29/cr</f>
        <v>40.288964625</v>
      </c>
      <c r="AD5" s="19">
        <f>Input!AD21*Input!AD29/cr</f>
        <v>40.288964625</v>
      </c>
      <c r="AE5" s="19">
        <f>Input!AE21*Input!AE29/cr</f>
        <v>40.288964625</v>
      </c>
    </row>
    <row r="6" spans="3:31" s="1" customFormat="1" ht="12.75">
      <c r="C6" s="20" t="s">
        <v>28</v>
      </c>
      <c r="D6" s="20" t="str">
        <f>D5</f>
        <v>Rs. Crores</v>
      </c>
      <c r="E6" s="21">
        <f aca="true" t="shared" si="1" ref="E6:Q6">SUM(E5:E5)</f>
        <v>0</v>
      </c>
      <c r="F6" s="21">
        <f t="shared" si="1"/>
        <v>0</v>
      </c>
      <c r="G6" s="21">
        <f t="shared" si="1"/>
        <v>33.5741371875</v>
      </c>
      <c r="H6" s="21">
        <f t="shared" si="1"/>
        <v>35.812413</v>
      </c>
      <c r="I6" s="21">
        <f t="shared" si="1"/>
        <v>38.05068881250001</v>
      </c>
      <c r="J6" s="21">
        <f t="shared" si="1"/>
        <v>40.28896462500001</v>
      </c>
      <c r="K6" s="21">
        <f t="shared" si="1"/>
        <v>40.288964625</v>
      </c>
      <c r="L6" s="21">
        <f t="shared" si="1"/>
        <v>40.288964625</v>
      </c>
      <c r="M6" s="21">
        <f t="shared" si="1"/>
        <v>40.288964625</v>
      </c>
      <c r="N6" s="21">
        <f t="shared" si="1"/>
        <v>40.288964625</v>
      </c>
      <c r="O6" s="21">
        <f t="shared" si="1"/>
        <v>40.288964625</v>
      </c>
      <c r="P6" s="21">
        <f t="shared" si="1"/>
        <v>40.288964625</v>
      </c>
      <c r="Q6" s="21">
        <f t="shared" si="1"/>
        <v>40.288964625</v>
      </c>
      <c r="R6" s="21">
        <f aca="true" t="shared" si="2" ref="R6:X6">SUM(R5:R5)</f>
        <v>40.288964625</v>
      </c>
      <c r="S6" s="21">
        <f t="shared" si="2"/>
        <v>40.288964625</v>
      </c>
      <c r="T6" s="21">
        <f t="shared" si="2"/>
        <v>40.288964625</v>
      </c>
      <c r="U6" s="21">
        <f t="shared" si="2"/>
        <v>40.288964625</v>
      </c>
      <c r="V6" s="21">
        <f t="shared" si="2"/>
        <v>40.288964625</v>
      </c>
      <c r="W6" s="21">
        <f t="shared" si="2"/>
        <v>40.288964625</v>
      </c>
      <c r="X6" s="21">
        <f t="shared" si="2"/>
        <v>40.288964625</v>
      </c>
      <c r="Y6" s="21">
        <f aca="true" t="shared" si="3" ref="Y6:AE6">SUM(Y5:Y5)</f>
        <v>40.288964625</v>
      </c>
      <c r="Z6" s="21">
        <f t="shared" si="3"/>
        <v>40.288964625</v>
      </c>
      <c r="AA6" s="21">
        <f t="shared" si="3"/>
        <v>40.288964625</v>
      </c>
      <c r="AB6" s="21">
        <f t="shared" si="3"/>
        <v>40.288964625</v>
      </c>
      <c r="AC6" s="21">
        <f t="shared" si="3"/>
        <v>40.288964625</v>
      </c>
      <c r="AD6" s="21">
        <f t="shared" si="3"/>
        <v>40.288964625</v>
      </c>
      <c r="AE6" s="21">
        <f t="shared" si="3"/>
        <v>40.288964625</v>
      </c>
    </row>
    <row r="7" spans="3:31" s="1" customFormat="1" ht="12.75">
      <c r="C7" s="20" t="s">
        <v>81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3:31" s="1" customFormat="1" ht="12.75">
      <c r="C8" s="24" t="s">
        <v>237</v>
      </c>
      <c r="D8" s="24" t="str">
        <f>D6</f>
        <v>Rs. Crores</v>
      </c>
      <c r="E8" s="14">
        <f>Input!E67</f>
        <v>0</v>
      </c>
      <c r="F8" s="14">
        <f>Input!F67</f>
        <v>0</v>
      </c>
      <c r="G8" s="14">
        <f>Input!G67</f>
        <v>14.1912</v>
      </c>
      <c r="H8" s="14">
        <f>Input!H67</f>
        <v>15.13728</v>
      </c>
      <c r="I8" s="14">
        <f>Input!I67</f>
        <v>16.083360000000003</v>
      </c>
      <c r="J8" s="14">
        <f>Input!J67</f>
        <v>17.029440000000005</v>
      </c>
      <c r="K8" s="14">
        <f>Input!K67</f>
        <v>17.02944</v>
      </c>
      <c r="L8" s="14">
        <f>Input!L67</f>
        <v>17.02944</v>
      </c>
      <c r="M8" s="14">
        <f>Input!M67</f>
        <v>17.02944</v>
      </c>
      <c r="N8" s="14">
        <f>Input!N67</f>
        <v>17.02944</v>
      </c>
      <c r="O8" s="14">
        <f>Input!O67</f>
        <v>17.02944</v>
      </c>
      <c r="P8" s="14">
        <f>Input!P67</f>
        <v>17.02944</v>
      </c>
      <c r="Q8" s="14">
        <f>Input!Q67</f>
        <v>17.02944</v>
      </c>
      <c r="R8" s="14">
        <f>Input!R67</f>
        <v>17.02944</v>
      </c>
      <c r="S8" s="14">
        <f>Input!S67</f>
        <v>17.02944</v>
      </c>
      <c r="T8" s="14">
        <f>Input!T67</f>
        <v>17.02944</v>
      </c>
      <c r="U8" s="14">
        <f>Input!U67</f>
        <v>17.02944</v>
      </c>
      <c r="V8" s="14">
        <f>Input!V67</f>
        <v>17.02944</v>
      </c>
      <c r="W8" s="14">
        <f>Input!W67</f>
        <v>17.02944</v>
      </c>
      <c r="X8" s="14">
        <f>Input!X67</f>
        <v>17.02944</v>
      </c>
      <c r="Y8" s="14">
        <f>Input!Y67</f>
        <v>17.02944</v>
      </c>
      <c r="Z8" s="14">
        <f>Input!Z67</f>
        <v>17.02944</v>
      </c>
      <c r="AA8" s="14">
        <f>Input!AA67</f>
        <v>17.02944</v>
      </c>
      <c r="AB8" s="14">
        <f>Input!AB67</f>
        <v>17.02944</v>
      </c>
      <c r="AC8" s="14">
        <f>Input!AC67</f>
        <v>17.02944</v>
      </c>
      <c r="AD8" s="14">
        <f>Input!AD67</f>
        <v>17.02944</v>
      </c>
      <c r="AE8" s="14">
        <f>Input!AE67</f>
        <v>17.02944</v>
      </c>
    </row>
    <row r="9" spans="3:31" ht="12.75">
      <c r="C9" s="5" t="s">
        <v>33</v>
      </c>
      <c r="D9" s="5" t="str">
        <f>D8</f>
        <v>Rs. Crores</v>
      </c>
      <c r="E9" s="19">
        <f>Input!E72</f>
        <v>0</v>
      </c>
      <c r="F9" s="19">
        <f>Input!F72</f>
        <v>0</v>
      </c>
      <c r="G9" s="19">
        <f>Input!G72</f>
        <v>1.597242657321426</v>
      </c>
      <c r="H9" s="19">
        <f>Input!H72</f>
        <v>1.6451599370410688</v>
      </c>
      <c r="I9" s="19">
        <f>Input!I72</f>
        <v>1.6945147351523009</v>
      </c>
      <c r="J9" s="19">
        <f>Input!J72</f>
        <v>1.81419197820687</v>
      </c>
      <c r="K9" s="19">
        <f>Input!K72</f>
        <v>1.8686177375530761</v>
      </c>
      <c r="L9" s="19">
        <f>Input!L72</f>
        <v>1.9246762696796689</v>
      </c>
      <c r="M9" s="19">
        <f>Input!M72</f>
        <v>2.107792048905604</v>
      </c>
      <c r="N9" s="19">
        <f>Input!N72</f>
        <v>2.171025810372772</v>
      </c>
      <c r="O9" s="19">
        <f>Input!O72</f>
        <v>2.239956894928118</v>
      </c>
      <c r="P9" s="19">
        <f>Input!P72</f>
        <v>2.4637283838354707</v>
      </c>
      <c r="Q9" s="19">
        <f>Input!Q72</f>
        <v>2.537640235350535</v>
      </c>
      <c r="R9" s="19">
        <f>Input!R72</f>
        <v>2.613769442411051</v>
      </c>
      <c r="S9" s="19">
        <f>Input!S72</f>
        <v>2.841887418802232</v>
      </c>
      <c r="T9" s="19">
        <f>Input!T72</f>
        <v>2.938158044217185</v>
      </c>
      <c r="U9" s="19">
        <f>Input!U72</f>
        <v>3.026302785543701</v>
      </c>
      <c r="V9" s="19">
        <f>Input!V72</f>
        <v>3.2105699141060584</v>
      </c>
      <c r="W9" s="19">
        <f>Input!W72</f>
        <v>3.30688701152924</v>
      </c>
      <c r="X9" s="19">
        <f>Input!X72</f>
        <v>3.4060936218751174</v>
      </c>
      <c r="Y9" s="19">
        <f>Input!Y72</f>
        <v>3.794285184819675</v>
      </c>
      <c r="Z9" s="19">
        <f>Input!Z72</f>
        <v>3.9081137403642656</v>
      </c>
      <c r="AA9" s="19">
        <f>Input!AA72</f>
        <v>4.025357152575194</v>
      </c>
      <c r="AB9" s="19">
        <f>Input!AB72</f>
        <v>4.25773554145502</v>
      </c>
      <c r="AC9" s="19">
        <f>Input!AC72</f>
        <v>4.38546760769867</v>
      </c>
      <c r="AD9" s="19">
        <f>Input!AD72</f>
        <v>4.53183353476308</v>
      </c>
      <c r="AE9" s="19">
        <f>Input!AE72</f>
        <v>4.667788540805972</v>
      </c>
    </row>
    <row r="10" spans="3:31" ht="12.75">
      <c r="C10" s="5" t="s">
        <v>273</v>
      </c>
      <c r="D10" s="5" t="str">
        <f>D9</f>
        <v>Rs. Crores</v>
      </c>
      <c r="E10" s="19">
        <f>Input!E77</f>
        <v>0</v>
      </c>
      <c r="F10" s="19">
        <f>Input!F77</f>
        <v>0</v>
      </c>
      <c r="G10" s="19">
        <f>Input!G77</f>
        <v>0.15365436274714261</v>
      </c>
      <c r="H10" s="19">
        <f>Input!H77</f>
        <v>0.1520119935550069</v>
      </c>
      <c r="I10" s="19">
        <f>Input!I77</f>
        <v>0.1501327932848706</v>
      </c>
      <c r="J10" s="19">
        <f>Input!J77</f>
        <v>0.15461284310032664</v>
      </c>
      <c r="K10" s="19">
        <f>Input!K77</f>
        <v>0.15213587088775363</v>
      </c>
      <c r="L10" s="19">
        <f>Input!L77</f>
        <v>0.14937112878363598</v>
      </c>
      <c r="M10" s="19">
        <f>Input!M77</f>
        <v>0.1583396270184846</v>
      </c>
      <c r="N10" s="19">
        <f>Input!N77</f>
        <v>0.15479812554455769</v>
      </c>
      <c r="O10" s="19">
        <f>Input!O77</f>
        <v>0.15126645810131822</v>
      </c>
      <c r="P10" s="19">
        <f>Input!P77</f>
        <v>0.1620231274210584</v>
      </c>
      <c r="Q10" s="19">
        <f>Input!Q77</f>
        <v>0.1571620605355623</v>
      </c>
      <c r="R10" s="19">
        <f>Input!R77</f>
        <v>0.1518635088222575</v>
      </c>
      <c r="S10" s="19">
        <f>Input!S77</f>
        <v>0.16047726789108185</v>
      </c>
      <c r="T10" s="19">
        <f>Input!T77</f>
        <v>0.15510891562853937</v>
      </c>
      <c r="U10" s="19">
        <f>Input!U77</f>
        <v>0.14813959039550106</v>
      </c>
      <c r="V10" s="19">
        <f>Input!V77</f>
        <v>0.1495863999440351</v>
      </c>
      <c r="W10" s="19">
        <f>Input!W77</f>
        <v>0.14135845379953257</v>
      </c>
      <c r="X10" s="19">
        <f>Input!X77</f>
        <v>0.13250220312641023</v>
      </c>
      <c r="Y10" s="19">
        <f>Input!Y77</f>
        <v>0.15044419521615815</v>
      </c>
      <c r="Z10" s="19">
        <f>Input!Z77</f>
        <v>0.13988455315678186</v>
      </c>
      <c r="AA10" s="19">
        <f>Input!AA77</f>
        <v>0.12855593279814845</v>
      </c>
      <c r="AB10" s="19">
        <f>Input!AB77</f>
        <v>0.12713699585320262</v>
      </c>
      <c r="AC10" s="19">
        <f>Input!AC77</f>
        <v>0.11402060189887706</v>
      </c>
      <c r="AD10" s="19">
        <f>Input!AD77</f>
        <v>0.1014237832990352</v>
      </c>
      <c r="AE10" s="19">
        <f>Input!AE77</f>
        <v>0.08644394146164855</v>
      </c>
    </row>
    <row r="11" spans="3:31" ht="12.75">
      <c r="C11" s="5" t="s">
        <v>233</v>
      </c>
      <c r="D11" s="5" t="str">
        <f>D10</f>
        <v>Rs. Crores</v>
      </c>
      <c r="E11" s="19">
        <f>Input!E82</f>
        <v>0</v>
      </c>
      <c r="F11" s="19">
        <f>Input!F82</f>
        <v>0</v>
      </c>
      <c r="G11" s="19">
        <f>Input!G82</f>
        <v>2.1823189171875</v>
      </c>
      <c r="H11" s="19">
        <f>Input!H82</f>
        <v>2.4441971872500003</v>
      </c>
      <c r="I11" s="19">
        <f>Input!I82</f>
        <v>2.7268074870257824</v>
      </c>
      <c r="J11" s="19">
        <f>Input!J82</f>
        <v>3.031568323811017</v>
      </c>
      <c r="K11" s="19">
        <f>Input!K82</f>
        <v>3.1831467400015665</v>
      </c>
      <c r="L11" s="19">
        <f>Input!L82</f>
        <v>3.3423040770016454</v>
      </c>
      <c r="M11" s="19">
        <f>Input!M82</f>
        <v>3.509419280851728</v>
      </c>
      <c r="N11" s="19">
        <f>Input!N82</f>
        <v>3.6848902448943144</v>
      </c>
      <c r="O11" s="19">
        <f>Input!O82</f>
        <v>3.86913475713903</v>
      </c>
      <c r="P11" s="19">
        <f>Input!P82</f>
        <v>3.86913475713903</v>
      </c>
      <c r="Q11" s="19">
        <f>Input!Q82</f>
        <v>3.86913475713903</v>
      </c>
      <c r="R11" s="19">
        <f>Input!R82</f>
        <v>3.86913475713903</v>
      </c>
      <c r="S11" s="19">
        <f>Input!S82</f>
        <v>3.86913475713903</v>
      </c>
      <c r="T11" s="19">
        <f>Input!T82</f>
        <v>3.86913475713903</v>
      </c>
      <c r="U11" s="19">
        <f>Input!U82</f>
        <v>3.86913475713903</v>
      </c>
      <c r="V11" s="19">
        <f>Input!V82</f>
        <v>3.86913475713903</v>
      </c>
      <c r="W11" s="19">
        <f>Input!W82</f>
        <v>3.86913475713903</v>
      </c>
      <c r="X11" s="19">
        <f>Input!X82</f>
        <v>3.86913475713903</v>
      </c>
      <c r="Y11" s="19">
        <f>Input!Y82</f>
        <v>3.86913475713903</v>
      </c>
      <c r="Z11" s="19">
        <f>Input!Z82</f>
        <v>3.86913475713903</v>
      </c>
      <c r="AA11" s="19">
        <f>Input!AA82</f>
        <v>3.86913475713903</v>
      </c>
      <c r="AB11" s="19">
        <f>Input!AB82</f>
        <v>3.86913475713903</v>
      </c>
      <c r="AC11" s="19">
        <f>Input!AC82</f>
        <v>3.86913475713903</v>
      </c>
      <c r="AD11" s="19">
        <f>Input!AD82</f>
        <v>3.86913475713903</v>
      </c>
      <c r="AE11" s="19">
        <f>Input!AE82</f>
        <v>3.86913475713903</v>
      </c>
    </row>
    <row r="12" spans="3:31" ht="12.75">
      <c r="C12" s="20" t="s">
        <v>84</v>
      </c>
      <c r="D12" s="20" t="str">
        <f>D10</f>
        <v>Rs. Crores</v>
      </c>
      <c r="E12" s="28">
        <f>SUM(E8:E11)</f>
        <v>0</v>
      </c>
      <c r="F12" s="28">
        <f aca="true" t="shared" si="4" ref="F12:Q12">SUM(F8:F11)</f>
        <v>0</v>
      </c>
      <c r="G12" s="28">
        <f t="shared" si="4"/>
        <v>18.124415937256067</v>
      </c>
      <c r="H12" s="28">
        <f t="shared" si="4"/>
        <v>19.378649117846077</v>
      </c>
      <c r="I12" s="28">
        <f t="shared" si="4"/>
        <v>20.654815015462958</v>
      </c>
      <c r="J12" s="28">
        <f t="shared" si="4"/>
        <v>22.02981314511822</v>
      </c>
      <c r="K12" s="28">
        <f t="shared" si="4"/>
        <v>22.233340348442397</v>
      </c>
      <c r="L12" s="28">
        <f t="shared" si="4"/>
        <v>22.44579147546495</v>
      </c>
      <c r="M12" s="28">
        <f t="shared" si="4"/>
        <v>22.804990956775818</v>
      </c>
      <c r="N12" s="28">
        <f t="shared" si="4"/>
        <v>23.040154180811648</v>
      </c>
      <c r="O12" s="28">
        <f t="shared" si="4"/>
        <v>23.289798110168466</v>
      </c>
      <c r="P12" s="28">
        <f t="shared" si="4"/>
        <v>23.52432626839556</v>
      </c>
      <c r="Q12" s="28">
        <f t="shared" si="4"/>
        <v>23.59337705302513</v>
      </c>
      <c r="R12" s="28">
        <f aca="true" t="shared" si="5" ref="R12:X12">SUM(R8:R11)</f>
        <v>23.664207708372338</v>
      </c>
      <c r="S12" s="28">
        <f t="shared" si="5"/>
        <v>23.900939443832343</v>
      </c>
      <c r="T12" s="28">
        <f t="shared" si="5"/>
        <v>23.991841716984755</v>
      </c>
      <c r="U12" s="28">
        <f t="shared" si="5"/>
        <v>24.073017133078235</v>
      </c>
      <c r="V12" s="28">
        <f t="shared" si="5"/>
        <v>24.258731071189125</v>
      </c>
      <c r="W12" s="28">
        <f t="shared" si="5"/>
        <v>24.346820222467805</v>
      </c>
      <c r="X12" s="28">
        <f t="shared" si="5"/>
        <v>24.43717058214056</v>
      </c>
      <c r="Y12" s="28">
        <f aca="true" t="shared" si="6" ref="Y12:AE12">SUM(Y8:Y11)</f>
        <v>24.84330413717486</v>
      </c>
      <c r="Z12" s="28">
        <f t="shared" si="6"/>
        <v>24.946573050660078</v>
      </c>
      <c r="AA12" s="28">
        <f t="shared" si="6"/>
        <v>25.05248784251237</v>
      </c>
      <c r="AB12" s="28">
        <f t="shared" si="6"/>
        <v>25.283447294447253</v>
      </c>
      <c r="AC12" s="28">
        <f t="shared" si="6"/>
        <v>25.39806296673658</v>
      </c>
      <c r="AD12" s="28">
        <f t="shared" si="6"/>
        <v>25.531832075201148</v>
      </c>
      <c r="AE12" s="28">
        <f t="shared" si="6"/>
        <v>25.652807239406652</v>
      </c>
    </row>
    <row r="13" spans="3:31" ht="12.75">
      <c r="C13" s="16" t="s">
        <v>48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3:31" ht="12.75">
      <c r="C14" s="11" t="s">
        <v>272</v>
      </c>
      <c r="D14" s="5" t="str">
        <f>D12</f>
        <v>Rs. Crores</v>
      </c>
      <c r="E14" s="19">
        <f>Input!E87</f>
        <v>0</v>
      </c>
      <c r="F14" s="19">
        <f>Input!F87</f>
        <v>0</v>
      </c>
      <c r="G14" s="19">
        <f>Input!G87</f>
        <v>1.3429654875</v>
      </c>
      <c r="H14" s="19">
        <f>Input!H87</f>
        <v>1.43249652</v>
      </c>
      <c r="I14" s="19">
        <f>Input!I87</f>
        <v>1.5220275525000007</v>
      </c>
      <c r="J14" s="19">
        <f>Input!J87</f>
        <v>1.6115585850000005</v>
      </c>
      <c r="K14" s="19">
        <f>Input!K87</f>
        <v>1.611558585</v>
      </c>
      <c r="L14" s="19">
        <f>Input!L87</f>
        <v>1.611558585</v>
      </c>
      <c r="M14" s="19">
        <f>Input!M87</f>
        <v>1.611558585</v>
      </c>
      <c r="N14" s="19">
        <f>Input!N87</f>
        <v>1.611558585</v>
      </c>
      <c r="O14" s="19">
        <f>Input!O87</f>
        <v>1.611558585</v>
      </c>
      <c r="P14" s="19">
        <f>Input!P87</f>
        <v>1.611558585</v>
      </c>
      <c r="Q14" s="19">
        <f>Input!Q87</f>
        <v>1.611558585</v>
      </c>
      <c r="R14" s="19">
        <f>Input!R87</f>
        <v>1.611558585</v>
      </c>
      <c r="S14" s="19">
        <f>Input!S87</f>
        <v>1.611558585</v>
      </c>
      <c r="T14" s="19">
        <f>Input!T87</f>
        <v>1.611558585</v>
      </c>
      <c r="U14" s="19">
        <f>Input!U87</f>
        <v>1.611558585</v>
      </c>
      <c r="V14" s="19">
        <f>Input!V87</f>
        <v>1.611558585</v>
      </c>
      <c r="W14" s="19">
        <f>Input!W87</f>
        <v>1.611558585</v>
      </c>
      <c r="X14" s="19">
        <f>Input!X87</f>
        <v>1.611558585</v>
      </c>
      <c r="Y14" s="19">
        <f>Input!Y87</f>
        <v>1.611558585</v>
      </c>
      <c r="Z14" s="19">
        <f>Input!Z87</f>
        <v>1.611558585</v>
      </c>
      <c r="AA14" s="19">
        <f>Input!AA87</f>
        <v>1.611558585</v>
      </c>
      <c r="AB14" s="19">
        <f>Input!AB87</f>
        <v>1.611558585</v>
      </c>
      <c r="AC14" s="19">
        <f>Input!AC87</f>
        <v>1.611558585</v>
      </c>
      <c r="AD14" s="19">
        <f>Input!AD87</f>
        <v>1.611558585</v>
      </c>
      <c r="AE14" s="19">
        <f>Input!AE87</f>
        <v>1.611558585</v>
      </c>
    </row>
    <row r="15" spans="3:31" ht="12.75">
      <c r="C15" s="11" t="s">
        <v>400</v>
      </c>
      <c r="D15" s="5" t="str">
        <f>D14</f>
        <v>Rs. Crores</v>
      </c>
      <c r="E15" s="19">
        <f>Input!E90</f>
        <v>0</v>
      </c>
      <c r="F15" s="19">
        <f>Input!F90</f>
        <v>0</v>
      </c>
      <c r="G15" s="19">
        <f>Input!G90</f>
        <v>1</v>
      </c>
      <c r="H15" s="19">
        <f>Input!H90</f>
        <v>1.03</v>
      </c>
      <c r="I15" s="19">
        <f>Input!I90</f>
        <v>1.0609</v>
      </c>
      <c r="J15" s="19">
        <f>Input!J90</f>
        <v>1.092727</v>
      </c>
      <c r="K15" s="19">
        <f>Input!K90</f>
        <v>1.1255088100000001</v>
      </c>
      <c r="L15" s="19">
        <f>Input!L90</f>
        <v>1.1592740743</v>
      </c>
      <c r="M15" s="19">
        <f>Input!M90</f>
        <v>1.1940522965290001</v>
      </c>
      <c r="N15" s="19">
        <f>Input!N90</f>
        <v>1.2298738654248702</v>
      </c>
      <c r="O15" s="19">
        <f>Input!O90</f>
        <v>1.2667700813876164</v>
      </c>
      <c r="P15" s="19">
        <f>Input!P90</f>
        <v>1.304773183829245</v>
      </c>
      <c r="Q15" s="19">
        <f>Input!Q90</f>
        <v>1.3439163793441222</v>
      </c>
      <c r="R15" s="19">
        <f>Input!R90</f>
        <v>1.384233870724446</v>
      </c>
      <c r="S15" s="19">
        <f>Input!S90</f>
        <v>1.4257608868461793</v>
      </c>
      <c r="T15" s="19">
        <f>Input!T90</f>
        <v>1.4685337134515648</v>
      </c>
      <c r="U15" s="19">
        <f>Input!U90</f>
        <v>1.512589724855112</v>
      </c>
      <c r="V15" s="19">
        <f>Input!V90</f>
        <v>1.5579674166007653</v>
      </c>
      <c r="W15" s="19">
        <f>Input!W90</f>
        <v>1.6047064390987884</v>
      </c>
      <c r="X15" s="19">
        <f>Input!X90</f>
        <v>1.652847632271752</v>
      </c>
      <c r="Y15" s="19">
        <f>Input!Y90</f>
        <v>1.7024330612399046</v>
      </c>
      <c r="Z15" s="19">
        <f>Input!Z90</f>
        <v>1.7535060530771018</v>
      </c>
      <c r="AA15" s="19">
        <f>Input!AA90</f>
        <v>1.806111234669415</v>
      </c>
      <c r="AB15" s="19">
        <f>Input!AB90</f>
        <v>1.8602945717094976</v>
      </c>
      <c r="AC15" s="19">
        <f>Input!AC90</f>
        <v>1.9161034088607827</v>
      </c>
      <c r="AD15" s="19">
        <f>Input!AD90</f>
        <v>1.9735865111266062</v>
      </c>
      <c r="AE15" s="19">
        <f>Input!AE90</f>
        <v>2.0327941064604045</v>
      </c>
    </row>
    <row r="16" spans="3:31" s="1" customFormat="1" ht="12.75">
      <c r="C16" s="16" t="s">
        <v>82</v>
      </c>
      <c r="D16" s="20" t="str">
        <f>D14</f>
        <v>Rs. Crores</v>
      </c>
      <c r="E16" s="21">
        <f>SUM(E14:E15)</f>
        <v>0</v>
      </c>
      <c r="F16" s="21">
        <f aca="true" t="shared" si="7" ref="F16:AE16">SUM(F14:F15)</f>
        <v>0</v>
      </c>
      <c r="G16" s="21">
        <f t="shared" si="7"/>
        <v>2.3429654875</v>
      </c>
      <c r="H16" s="21">
        <f t="shared" si="7"/>
        <v>2.46249652</v>
      </c>
      <c r="I16" s="21">
        <f t="shared" si="7"/>
        <v>2.5829275525000006</v>
      </c>
      <c r="J16" s="21">
        <f t="shared" si="7"/>
        <v>2.7042855850000005</v>
      </c>
      <c r="K16" s="21">
        <f t="shared" si="7"/>
        <v>2.7370673950000004</v>
      </c>
      <c r="L16" s="21">
        <f t="shared" si="7"/>
        <v>2.7708326593</v>
      </c>
      <c r="M16" s="21">
        <f t="shared" si="7"/>
        <v>2.805610881529</v>
      </c>
      <c r="N16" s="21">
        <f t="shared" si="7"/>
        <v>2.84143245042487</v>
      </c>
      <c r="O16" s="21">
        <f t="shared" si="7"/>
        <v>2.8783286663876164</v>
      </c>
      <c r="P16" s="21">
        <f t="shared" si="7"/>
        <v>2.916331768829245</v>
      </c>
      <c r="Q16" s="21">
        <f t="shared" si="7"/>
        <v>2.9554749643441225</v>
      </c>
      <c r="R16" s="21">
        <f t="shared" si="7"/>
        <v>2.995792455724446</v>
      </c>
      <c r="S16" s="21">
        <f t="shared" si="7"/>
        <v>3.037319471846179</v>
      </c>
      <c r="T16" s="21">
        <f t="shared" si="7"/>
        <v>3.080092298451565</v>
      </c>
      <c r="U16" s="21">
        <f t="shared" si="7"/>
        <v>3.124148309855112</v>
      </c>
      <c r="V16" s="21">
        <f t="shared" si="7"/>
        <v>3.169526001600765</v>
      </c>
      <c r="W16" s="21">
        <f t="shared" si="7"/>
        <v>3.2162650240987887</v>
      </c>
      <c r="X16" s="21">
        <f t="shared" si="7"/>
        <v>3.264406217271752</v>
      </c>
      <c r="Y16" s="21">
        <f t="shared" si="7"/>
        <v>3.313991646239905</v>
      </c>
      <c r="Z16" s="21">
        <f t="shared" si="7"/>
        <v>3.3650646380771017</v>
      </c>
      <c r="AA16" s="21">
        <f t="shared" si="7"/>
        <v>3.417669819669415</v>
      </c>
      <c r="AB16" s="21">
        <f t="shared" si="7"/>
        <v>3.4718531567094977</v>
      </c>
      <c r="AC16" s="21">
        <f t="shared" si="7"/>
        <v>3.5276619938607827</v>
      </c>
      <c r="AD16" s="21">
        <f t="shared" si="7"/>
        <v>3.585145096126606</v>
      </c>
      <c r="AE16" s="21">
        <f t="shared" si="7"/>
        <v>3.6443526914604045</v>
      </c>
    </row>
    <row r="17" spans="3:31" s="1" customFormat="1" ht="12.75">
      <c r="C17" s="16" t="s">
        <v>83</v>
      </c>
      <c r="D17" s="20" t="str">
        <f>D16</f>
        <v>Rs. Crores</v>
      </c>
      <c r="E17" s="21">
        <f aca="true" t="shared" si="8" ref="E17:Q17">E16+E12</f>
        <v>0</v>
      </c>
      <c r="F17" s="21">
        <f t="shared" si="8"/>
        <v>0</v>
      </c>
      <c r="G17" s="21">
        <f t="shared" si="8"/>
        <v>20.467381424756066</v>
      </c>
      <c r="H17" s="21">
        <f t="shared" si="8"/>
        <v>21.841145637846076</v>
      </c>
      <c r="I17" s="21">
        <f t="shared" si="8"/>
        <v>23.237742567962957</v>
      </c>
      <c r="J17" s="21">
        <f t="shared" si="8"/>
        <v>24.73409873011822</v>
      </c>
      <c r="K17" s="21">
        <f t="shared" si="8"/>
        <v>24.970407743442397</v>
      </c>
      <c r="L17" s="21">
        <f t="shared" si="8"/>
        <v>25.21662413476495</v>
      </c>
      <c r="M17" s="21">
        <f t="shared" si="8"/>
        <v>25.610601838304817</v>
      </c>
      <c r="N17" s="21">
        <f t="shared" si="8"/>
        <v>25.881586631236516</v>
      </c>
      <c r="O17" s="21">
        <f t="shared" si="8"/>
        <v>26.168126776556083</v>
      </c>
      <c r="P17" s="21">
        <f t="shared" si="8"/>
        <v>26.440658037224804</v>
      </c>
      <c r="Q17" s="21">
        <f t="shared" si="8"/>
        <v>26.548852017369253</v>
      </c>
      <c r="R17" s="21">
        <f aca="true" t="shared" si="9" ref="R17:X17">R16+R12</f>
        <v>26.660000164096783</v>
      </c>
      <c r="S17" s="21">
        <f t="shared" si="9"/>
        <v>26.93825891567852</v>
      </c>
      <c r="T17" s="21">
        <f t="shared" si="9"/>
        <v>27.07193401543632</v>
      </c>
      <c r="U17" s="21">
        <f t="shared" si="9"/>
        <v>27.197165442933347</v>
      </c>
      <c r="V17" s="21">
        <f t="shared" si="9"/>
        <v>27.42825707278989</v>
      </c>
      <c r="W17" s="21">
        <f t="shared" si="9"/>
        <v>27.563085246566594</v>
      </c>
      <c r="X17" s="21">
        <f t="shared" si="9"/>
        <v>27.70157679941231</v>
      </c>
      <c r="Y17" s="21">
        <f aca="true" t="shared" si="10" ref="Y17:AE17">Y16+Y12</f>
        <v>28.157295783414767</v>
      </c>
      <c r="Z17" s="21">
        <f t="shared" si="10"/>
        <v>28.31163768873718</v>
      </c>
      <c r="AA17" s="21">
        <f t="shared" si="10"/>
        <v>28.470157662181784</v>
      </c>
      <c r="AB17" s="21">
        <f t="shared" si="10"/>
        <v>28.75530045115675</v>
      </c>
      <c r="AC17" s="21">
        <f t="shared" si="10"/>
        <v>28.92572496059736</v>
      </c>
      <c r="AD17" s="21">
        <f t="shared" si="10"/>
        <v>29.116977171327754</v>
      </c>
      <c r="AE17" s="21">
        <f t="shared" si="10"/>
        <v>29.297159930867057</v>
      </c>
    </row>
    <row r="18" spans="3:31" ht="12.75">
      <c r="C18" s="5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3:31" s="1" customFormat="1" ht="12.75">
      <c r="C19" s="20" t="s">
        <v>85</v>
      </c>
      <c r="D19" s="20" t="str">
        <f>D17</f>
        <v>Rs. Crores</v>
      </c>
      <c r="E19" s="21">
        <f aca="true" t="shared" si="11" ref="E19:Q19">E6-E17</f>
        <v>0</v>
      </c>
      <c r="F19" s="21">
        <f t="shared" si="11"/>
        <v>0</v>
      </c>
      <c r="G19" s="21">
        <f t="shared" si="11"/>
        <v>13.106755762743934</v>
      </c>
      <c r="H19" s="21">
        <f t="shared" si="11"/>
        <v>13.971267362153924</v>
      </c>
      <c r="I19" s="21">
        <f t="shared" si="11"/>
        <v>14.812946244537056</v>
      </c>
      <c r="J19" s="21">
        <f t="shared" si="11"/>
        <v>15.554865894881793</v>
      </c>
      <c r="K19" s="21">
        <f t="shared" si="11"/>
        <v>15.318556881557601</v>
      </c>
      <c r="L19" s="21">
        <f t="shared" si="11"/>
        <v>15.07234049023505</v>
      </c>
      <c r="M19" s="21">
        <f t="shared" si="11"/>
        <v>14.678362786695182</v>
      </c>
      <c r="N19" s="21">
        <f t="shared" si="11"/>
        <v>14.407377993763482</v>
      </c>
      <c r="O19" s="21">
        <f t="shared" si="11"/>
        <v>14.120837848443916</v>
      </c>
      <c r="P19" s="21">
        <f t="shared" si="11"/>
        <v>13.848306587775195</v>
      </c>
      <c r="Q19" s="21">
        <f t="shared" si="11"/>
        <v>13.740112607630746</v>
      </c>
      <c r="R19" s="21">
        <f aca="true" t="shared" si="12" ref="R19:X19">R6-R17</f>
        <v>13.628964460903216</v>
      </c>
      <c r="S19" s="21">
        <f t="shared" si="12"/>
        <v>13.350705709321478</v>
      </c>
      <c r="T19" s="21">
        <f t="shared" si="12"/>
        <v>13.217030609563679</v>
      </c>
      <c r="U19" s="21">
        <f t="shared" si="12"/>
        <v>13.091799182066651</v>
      </c>
      <c r="V19" s="21">
        <f t="shared" si="12"/>
        <v>12.860707552210108</v>
      </c>
      <c r="W19" s="21">
        <f t="shared" si="12"/>
        <v>12.725879378433405</v>
      </c>
      <c r="X19" s="21">
        <f t="shared" si="12"/>
        <v>12.587387825587687</v>
      </c>
      <c r="Y19" s="21">
        <f aca="true" t="shared" si="13" ref="Y19:AE19">Y6-Y17</f>
        <v>12.131668841585231</v>
      </c>
      <c r="Z19" s="21">
        <f t="shared" si="13"/>
        <v>11.97732693626282</v>
      </c>
      <c r="AA19" s="21">
        <f t="shared" si="13"/>
        <v>11.818806962818215</v>
      </c>
      <c r="AB19" s="21">
        <f t="shared" si="13"/>
        <v>11.533664173843249</v>
      </c>
      <c r="AC19" s="21">
        <f t="shared" si="13"/>
        <v>11.363239664402638</v>
      </c>
      <c r="AD19" s="21">
        <f t="shared" si="13"/>
        <v>11.171987453672244</v>
      </c>
      <c r="AE19" s="21">
        <f t="shared" si="13"/>
        <v>10.991804694132941</v>
      </c>
    </row>
    <row r="20" spans="3:31" s="1" customFormat="1" ht="12.75">
      <c r="C20" s="20" t="s">
        <v>86</v>
      </c>
      <c r="D20" s="20" t="s">
        <v>10</v>
      </c>
      <c r="E20" s="77">
        <f aca="true" t="shared" si="14" ref="E20:Q20">IF(E6&lt;=0,0,E19/E6)</f>
        <v>0</v>
      </c>
      <c r="F20" s="77">
        <f t="shared" si="14"/>
        <v>0</v>
      </c>
      <c r="G20" s="77">
        <f t="shared" si="14"/>
        <v>0.3903825045316046</v>
      </c>
      <c r="H20" s="77">
        <f t="shared" si="14"/>
        <v>0.39012359659076656</v>
      </c>
      <c r="I20" s="77">
        <f t="shared" si="14"/>
        <v>0.38929508786371464</v>
      </c>
      <c r="J20" s="77">
        <f t="shared" si="14"/>
        <v>0.38608254244463075</v>
      </c>
      <c r="K20" s="77">
        <f t="shared" si="14"/>
        <v>0.3802171891022529</v>
      </c>
      <c r="L20" s="77">
        <f t="shared" si="14"/>
        <v>0.37410592777761287</v>
      </c>
      <c r="M20" s="77">
        <f t="shared" si="14"/>
        <v>0.36432712836673403</v>
      </c>
      <c r="N20" s="77">
        <f t="shared" si="14"/>
        <v>0.35760109816332825</v>
      </c>
      <c r="O20" s="77">
        <f t="shared" si="14"/>
        <v>0.350488973342385</v>
      </c>
      <c r="P20" s="77">
        <f t="shared" si="14"/>
        <v>0.34372455873889796</v>
      </c>
      <c r="Q20" s="77">
        <f t="shared" si="14"/>
        <v>0.3410391092330223</v>
      </c>
      <c r="R20" s="77">
        <f aca="true" t="shared" si="15" ref="R20:X20">IF(R6&lt;=0,0,R19/R6)</f>
        <v>0.33828033526694823</v>
      </c>
      <c r="S20" s="77">
        <f t="shared" si="15"/>
        <v>0.33137376037301125</v>
      </c>
      <c r="T20" s="77">
        <f t="shared" si="15"/>
        <v>0.3280558518339854</v>
      </c>
      <c r="U20" s="77">
        <f t="shared" si="15"/>
        <v>0.3249475210872747</v>
      </c>
      <c r="V20" s="77">
        <f t="shared" si="15"/>
        <v>0.3192116668153298</v>
      </c>
      <c r="W20" s="77">
        <f t="shared" si="15"/>
        <v>0.31586513818071105</v>
      </c>
      <c r="X20" s="77">
        <f t="shared" si="15"/>
        <v>0.31242768194090037</v>
      </c>
      <c r="Y20" s="77">
        <f aca="true" t="shared" si="16" ref="Y20:AE20">IF(Y6&lt;=0,0,Y19/Y6)</f>
        <v>0.30111642119632237</v>
      </c>
      <c r="Z20" s="77">
        <f t="shared" si="16"/>
        <v>0.2972855482324974</v>
      </c>
      <c r="AA20" s="77">
        <f t="shared" si="16"/>
        <v>0.29335097272478533</v>
      </c>
      <c r="AB20" s="77">
        <f t="shared" si="16"/>
        <v>0.2862735312559115</v>
      </c>
      <c r="AC20" s="77">
        <f t="shared" si="16"/>
        <v>0.28204347692150794</v>
      </c>
      <c r="AD20" s="77">
        <f t="shared" si="16"/>
        <v>0.27729646461899476</v>
      </c>
      <c r="AE20" s="77">
        <f t="shared" si="16"/>
        <v>0.2728242037600623</v>
      </c>
    </row>
    <row r="21" spans="3:31" ht="12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3:31" ht="12.75">
      <c r="C22" s="5" t="s">
        <v>76</v>
      </c>
      <c r="D22" s="5" t="str">
        <f>D19</f>
        <v>Rs. Crores</v>
      </c>
      <c r="E22" s="14">
        <f>Depreciation!E10</f>
        <v>0</v>
      </c>
      <c r="F22" s="14">
        <f>Depreciation!F10</f>
        <v>0</v>
      </c>
      <c r="G22" s="14">
        <f>Depreciation!G10</f>
        <v>2.0233009949999996</v>
      </c>
      <c r="H22" s="14">
        <f>Depreciation!H10</f>
        <v>2.0233009949999996</v>
      </c>
      <c r="I22" s="14">
        <f>Depreciation!I10</f>
        <v>2.0233009949999996</v>
      </c>
      <c r="J22" s="14">
        <f>Depreciation!J10</f>
        <v>2.1073009949999997</v>
      </c>
      <c r="K22" s="14">
        <f>Depreciation!K10</f>
        <v>2.1073009949999997</v>
      </c>
      <c r="L22" s="14">
        <f>Depreciation!L10</f>
        <v>2.1073009949999997</v>
      </c>
      <c r="M22" s="14">
        <f>Depreciation!M10</f>
        <v>2.247300995</v>
      </c>
      <c r="N22" s="14">
        <f>Depreciation!N10</f>
        <v>2.247300995</v>
      </c>
      <c r="O22" s="14">
        <f>Depreciation!O10</f>
        <v>2.251300995</v>
      </c>
      <c r="P22" s="14">
        <f>Depreciation!P10</f>
        <v>2.411300995</v>
      </c>
      <c r="Q22" s="14">
        <f>Depreciation!Q10</f>
        <v>2.411300995</v>
      </c>
      <c r="R22" s="14">
        <f>Depreciation!R10</f>
        <v>2.411300995</v>
      </c>
      <c r="S22" s="14">
        <f>Depreciation!S10</f>
        <v>2.5513009949999996</v>
      </c>
      <c r="T22" s="14">
        <f>Depreciation!T10</f>
        <v>2.561300995</v>
      </c>
      <c r="U22" s="14">
        <f>Depreciation!U10</f>
        <v>2.561300995</v>
      </c>
      <c r="V22" s="14">
        <f>Depreciation!V10</f>
        <v>2.641300995</v>
      </c>
      <c r="W22" s="14">
        <f>Depreciation!W10</f>
        <v>2.641300995</v>
      </c>
      <c r="X22" s="14">
        <f>Depreciation!X10</f>
        <v>2.641300995</v>
      </c>
      <c r="Y22" s="14">
        <f>Depreciation!Y10</f>
        <v>2.8653009949999997</v>
      </c>
      <c r="Z22" s="14">
        <f>Depreciation!Z10</f>
        <v>2.8653009949999997</v>
      </c>
      <c r="AA22" s="14">
        <f>Depreciation!AA10</f>
        <v>2.8653009949999997</v>
      </c>
      <c r="AB22" s="14">
        <f>Depreciation!AB10</f>
        <v>2.9453009949999998</v>
      </c>
      <c r="AC22" s="14">
        <f>Depreciation!AC10</f>
        <v>2.9453009949999998</v>
      </c>
      <c r="AD22" s="14">
        <f>Depreciation!AD10</f>
        <v>2.9553009949999995</v>
      </c>
      <c r="AE22" s="14">
        <f>Depreciation!AE10</f>
        <v>2.9553009949999995</v>
      </c>
    </row>
    <row r="23" spans="3:31" ht="12.75">
      <c r="C23" s="5" t="s">
        <v>87</v>
      </c>
      <c r="D23" s="5" t="str">
        <f>D22</f>
        <v>Rs. Crores</v>
      </c>
      <c r="E23" s="14">
        <f>Interest!E11</f>
        <v>0</v>
      </c>
      <c r="F23" s="14">
        <f>Interest!F11</f>
        <v>0</v>
      </c>
      <c r="G23" s="14">
        <f>Interest!G11</f>
        <v>3.0717139393271458</v>
      </c>
      <c r="H23" s="14">
        <f>Interest!H11</f>
        <v>5.828380295133558</v>
      </c>
      <c r="I23" s="14">
        <f>Interest!I11</f>
        <v>5.198285128092092</v>
      </c>
      <c r="J23" s="14">
        <f>Interest!J11</f>
        <v>4.568189961050624</v>
      </c>
      <c r="K23" s="14">
        <f>Interest!K11</f>
        <v>3.938094794009159</v>
      </c>
      <c r="L23" s="14">
        <f>Interest!L11</f>
        <v>3.3079996269676917</v>
      </c>
      <c r="M23" s="14">
        <f>Interest!M11</f>
        <v>2.677904459926226</v>
      </c>
      <c r="N23" s="14">
        <f>Interest!N11</f>
        <v>2.047809292884759</v>
      </c>
      <c r="O23" s="14">
        <f>Interest!O11</f>
        <v>1.4177141258432933</v>
      </c>
      <c r="P23" s="14">
        <f>Interest!P11</f>
        <v>0.7876189588018275</v>
      </c>
      <c r="Q23" s="14">
        <f>Interest!Q11</f>
        <v>0.17721426573040933</v>
      </c>
      <c r="R23" s="14">
        <f>Interest!R11</f>
        <v>0</v>
      </c>
      <c r="S23" s="14">
        <f>Interest!S11</f>
        <v>0</v>
      </c>
      <c r="T23" s="14">
        <f>Interest!T11</f>
        <v>0</v>
      </c>
      <c r="U23" s="14">
        <f>Interest!U11</f>
        <v>0</v>
      </c>
      <c r="V23" s="14">
        <f>Interest!V11</f>
        <v>0</v>
      </c>
      <c r="W23" s="14">
        <f>Interest!W11</f>
        <v>0</v>
      </c>
      <c r="X23" s="14">
        <f>Interest!X11</f>
        <v>0</v>
      </c>
      <c r="Y23" s="14">
        <f>Interest!Y11</f>
        <v>0</v>
      </c>
      <c r="Z23" s="14">
        <f>Interest!Z11</f>
        <v>0</v>
      </c>
      <c r="AA23" s="14">
        <f>Interest!AA11</f>
        <v>0</v>
      </c>
      <c r="AB23" s="14">
        <f>Interest!AB11</f>
        <v>0</v>
      </c>
      <c r="AC23" s="14">
        <f>Interest!AC11</f>
        <v>0</v>
      </c>
      <c r="AD23" s="14">
        <f>Interest!AD11</f>
        <v>0</v>
      </c>
      <c r="AE23" s="14">
        <f>Interest!AE11</f>
        <v>0</v>
      </c>
    </row>
    <row r="24" spans="3:31" s="15" customFormat="1" ht="12.75">
      <c r="C24" s="11" t="s">
        <v>88</v>
      </c>
      <c r="D24" s="5" t="str">
        <f>D23</f>
        <v>Rs. Crores</v>
      </c>
      <c r="E24" s="32">
        <f>WC!E16</f>
        <v>0</v>
      </c>
      <c r="F24" s="32">
        <f>WC!F16</f>
        <v>0</v>
      </c>
      <c r="G24" s="32">
        <f>WC!G16</f>
        <v>0.30356988063122964</v>
      </c>
      <c r="H24" s="32">
        <f>WC!H16</f>
        <v>0.32274179012989307</v>
      </c>
      <c r="I24" s="32">
        <f>WC!I16</f>
        <v>0.3417871856367552</v>
      </c>
      <c r="J24" s="32">
        <f>WC!J16</f>
        <v>0.36106472414817214</v>
      </c>
      <c r="K24" s="32">
        <f>WC!K16</f>
        <v>0.360374245239475</v>
      </c>
      <c r="L24" s="32">
        <f>WC!L16</f>
        <v>0.35964342982607844</v>
      </c>
      <c r="M24" s="32">
        <f>WC!M16</f>
        <v>0.3595395789475901</v>
      </c>
      <c r="N24" s="32">
        <f>WC!N16</f>
        <v>0.358741486894601</v>
      </c>
      <c r="O24" s="32">
        <f>WC!O16</f>
        <v>0.3579170302694311</v>
      </c>
      <c r="P24" s="32">
        <f>WC!P16</f>
        <v>0.35911194702997495</v>
      </c>
      <c r="Q24" s="32">
        <f>WC!Q16</f>
        <v>0.35950662872338207</v>
      </c>
      <c r="R24" s="32">
        <f>WC!R16</f>
        <v>0.3599131508675913</v>
      </c>
      <c r="S24" s="32">
        <f>WC!S16</f>
        <v>0.3611312774247419</v>
      </c>
      <c r="T24" s="32">
        <f>WC!T16</f>
        <v>0.36164535267364</v>
      </c>
      <c r="U24" s="32">
        <f>WC!U16</f>
        <v>0.362116036536357</v>
      </c>
      <c r="V24" s="32">
        <f>WC!V16</f>
        <v>0.3631000040713257</v>
      </c>
      <c r="W24" s="32">
        <f>WC!W16</f>
        <v>0.3636143274759733</v>
      </c>
      <c r="X24" s="32">
        <f>WC!X16</f>
        <v>0.36414408058276027</v>
      </c>
      <c r="Y24" s="32">
        <f>WC!Y16</f>
        <v>0.36621698364618943</v>
      </c>
      <c r="Z24" s="32">
        <f>WC!Z16</f>
        <v>0.36682481643808296</v>
      </c>
      <c r="AA24" s="32">
        <f>WC!AA16</f>
        <v>0.3674508842137332</v>
      </c>
      <c r="AB24" s="32">
        <f>WC!AB16</f>
        <v>0.3686917609358595</v>
      </c>
      <c r="AC24" s="32">
        <f>WC!AC16</f>
        <v>0.3693738370464431</v>
      </c>
      <c r="AD24" s="32">
        <f>WC!AD16</f>
        <v>0.37015541605937174</v>
      </c>
      <c r="AE24" s="32">
        <f>WC!AE16</f>
        <v>0.37088140182366075</v>
      </c>
    </row>
    <row r="25" spans="3:31" ht="12.75">
      <c r="C25" s="5" t="s">
        <v>89</v>
      </c>
      <c r="D25" s="5" t="str">
        <f>D24</f>
        <v>Rs. Crores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</row>
    <row r="26" spans="3:31" ht="12.75">
      <c r="C26" s="5" t="s">
        <v>90</v>
      </c>
      <c r="D26" s="5" t="str">
        <f>D25</f>
        <v>Rs. Crores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</row>
    <row r="27" spans="3:31" s="1" customFormat="1" ht="12.75">
      <c r="C27" s="20" t="s">
        <v>91</v>
      </c>
      <c r="D27" s="20" t="str">
        <f>D26</f>
        <v>Rs. Crores</v>
      </c>
      <c r="E27" s="28">
        <f>SUM(E22:E26)+E17</f>
        <v>0</v>
      </c>
      <c r="F27" s="28">
        <f aca="true" t="shared" si="17" ref="F27:O27">SUM(F22:F26)+F17</f>
        <v>0</v>
      </c>
      <c r="G27" s="28">
        <f t="shared" si="17"/>
        <v>25.865966239714442</v>
      </c>
      <c r="H27" s="28">
        <f t="shared" si="17"/>
        <v>30.015568718109527</v>
      </c>
      <c r="I27" s="28">
        <f t="shared" si="17"/>
        <v>30.801115876691803</v>
      </c>
      <c r="J27" s="28">
        <f t="shared" si="17"/>
        <v>31.770654410317015</v>
      </c>
      <c r="K27" s="28">
        <f t="shared" si="17"/>
        <v>31.37617777769103</v>
      </c>
      <c r="L27" s="28">
        <f t="shared" si="17"/>
        <v>30.99156818655872</v>
      </c>
      <c r="M27" s="28">
        <f t="shared" si="17"/>
        <v>30.89534687217863</v>
      </c>
      <c r="N27" s="28">
        <f t="shared" si="17"/>
        <v>30.535438406015878</v>
      </c>
      <c r="O27" s="28">
        <f t="shared" si="17"/>
        <v>30.195058927668807</v>
      </c>
      <c r="P27" s="28">
        <f>SUM(P22:P26)+P17</f>
        <v>29.998689938056607</v>
      </c>
      <c r="Q27" s="28">
        <f>SUM(Q22:Q26)+Q17</f>
        <v>29.496873906823044</v>
      </c>
      <c r="R27" s="28">
        <f aca="true" t="shared" si="18" ref="R27:X27">SUM(R22:R26)+R17</f>
        <v>29.431214309964375</v>
      </c>
      <c r="S27" s="28">
        <f t="shared" si="18"/>
        <v>29.850691188103262</v>
      </c>
      <c r="T27" s="28">
        <f t="shared" si="18"/>
        <v>29.99488036310996</v>
      </c>
      <c r="U27" s="28">
        <f t="shared" si="18"/>
        <v>30.120582474469703</v>
      </c>
      <c r="V27" s="28">
        <f t="shared" si="18"/>
        <v>30.432658071861216</v>
      </c>
      <c r="W27" s="28">
        <f t="shared" si="18"/>
        <v>30.568000569042567</v>
      </c>
      <c r="X27" s="28">
        <f t="shared" si="18"/>
        <v>30.70702187499507</v>
      </c>
      <c r="Y27" s="28">
        <f aca="true" t="shared" si="19" ref="Y27:AE27">SUM(Y22:Y26)+Y17</f>
        <v>31.388813762060956</v>
      </c>
      <c r="Z27" s="28">
        <f t="shared" si="19"/>
        <v>31.54376350017526</v>
      </c>
      <c r="AA27" s="28">
        <f t="shared" si="19"/>
        <v>31.702909541395517</v>
      </c>
      <c r="AB27" s="28">
        <f t="shared" si="19"/>
        <v>32.069293207092606</v>
      </c>
      <c r="AC27" s="28">
        <f t="shared" si="19"/>
        <v>32.24039979264381</v>
      </c>
      <c r="AD27" s="28">
        <f t="shared" si="19"/>
        <v>32.442433582387125</v>
      </c>
      <c r="AE27" s="28">
        <f t="shared" si="19"/>
        <v>32.623342327690715</v>
      </c>
    </row>
    <row r="28" spans="3:31" s="1" customFormat="1" ht="12.75">
      <c r="C28" s="16" t="s">
        <v>92</v>
      </c>
      <c r="D28" s="20" t="str">
        <f>D27</f>
        <v>Rs. Crores</v>
      </c>
      <c r="E28" s="21">
        <f aca="true" t="shared" si="20" ref="E28:Q28">E6-E27</f>
        <v>0</v>
      </c>
      <c r="F28" s="21">
        <f t="shared" si="20"/>
        <v>0</v>
      </c>
      <c r="G28" s="21">
        <f t="shared" si="20"/>
        <v>7.708170947785558</v>
      </c>
      <c r="H28" s="21">
        <f t="shared" si="20"/>
        <v>5.796844281890472</v>
      </c>
      <c r="I28" s="21">
        <f t="shared" si="20"/>
        <v>7.24957293580821</v>
      </c>
      <c r="J28" s="21">
        <f t="shared" si="20"/>
        <v>8.518310214682998</v>
      </c>
      <c r="K28" s="21">
        <f t="shared" si="20"/>
        <v>8.912786847308968</v>
      </c>
      <c r="L28" s="21">
        <f t="shared" si="20"/>
        <v>9.297396438441279</v>
      </c>
      <c r="M28" s="21">
        <f t="shared" si="20"/>
        <v>9.393617752821367</v>
      </c>
      <c r="N28" s="21">
        <f t="shared" si="20"/>
        <v>9.75352621898412</v>
      </c>
      <c r="O28" s="21">
        <f t="shared" si="20"/>
        <v>10.093905697331191</v>
      </c>
      <c r="P28" s="21">
        <f t="shared" si="20"/>
        <v>10.290274686943391</v>
      </c>
      <c r="Q28" s="21">
        <f t="shared" si="20"/>
        <v>10.792090718176954</v>
      </c>
      <c r="R28" s="21">
        <f aca="true" t="shared" si="21" ref="R28:X28">R6-R27</f>
        <v>10.857750315035624</v>
      </c>
      <c r="S28" s="21">
        <f t="shared" si="21"/>
        <v>10.438273436896736</v>
      </c>
      <c r="T28" s="21">
        <f t="shared" si="21"/>
        <v>10.294084261890038</v>
      </c>
      <c r="U28" s="21">
        <f t="shared" si="21"/>
        <v>10.168382150530295</v>
      </c>
      <c r="V28" s="21">
        <f t="shared" si="21"/>
        <v>9.856306553138783</v>
      </c>
      <c r="W28" s="21">
        <f t="shared" si="21"/>
        <v>9.720964055957431</v>
      </c>
      <c r="X28" s="21">
        <f t="shared" si="21"/>
        <v>9.581942750004927</v>
      </c>
      <c r="Y28" s="21">
        <f aca="true" t="shared" si="22" ref="Y28:AE28">Y6-Y27</f>
        <v>8.900150862939043</v>
      </c>
      <c r="Z28" s="21">
        <f t="shared" si="22"/>
        <v>8.745201124824739</v>
      </c>
      <c r="AA28" s="21">
        <f t="shared" si="22"/>
        <v>8.586055083604482</v>
      </c>
      <c r="AB28" s="21">
        <f t="shared" si="22"/>
        <v>8.219671417907392</v>
      </c>
      <c r="AC28" s="21">
        <f t="shared" si="22"/>
        <v>8.048564832356192</v>
      </c>
      <c r="AD28" s="21">
        <f t="shared" si="22"/>
        <v>7.846531042612874</v>
      </c>
      <c r="AE28" s="21">
        <f t="shared" si="22"/>
        <v>7.665622297309284</v>
      </c>
    </row>
    <row r="29" spans="3:31" ht="12.75">
      <c r="C29" s="11" t="s">
        <v>93</v>
      </c>
      <c r="D29" s="5" t="str">
        <f>D28</f>
        <v>Rs. Crores</v>
      </c>
      <c r="E29" s="19">
        <f>Tax!E30</f>
        <v>0</v>
      </c>
      <c r="F29" s="19">
        <f>Tax!F30</f>
        <v>0</v>
      </c>
      <c r="G29" s="19">
        <f>Tax!G30</f>
        <v>1.852882614064036</v>
      </c>
      <c r="H29" s="19">
        <f>Tax!H30</f>
        <v>1.1933847386242278</v>
      </c>
      <c r="I29" s="19">
        <f>Tax!I30</f>
        <v>1.4924550811489647</v>
      </c>
      <c r="J29" s="19">
        <f>Tax!J30</f>
        <v>1.7536474872763597</v>
      </c>
      <c r="K29" s="19">
        <f>Tax!K30</f>
        <v>1.8348576026818029</v>
      </c>
      <c r="L29" s="19">
        <f>Tax!L30</f>
        <v>1.9140364099890295</v>
      </c>
      <c r="M29" s="19">
        <f>Tax!M30</f>
        <v>1.9338452995378295</v>
      </c>
      <c r="N29" s="19">
        <f>Tax!N30</f>
        <v>2.007938935649823</v>
      </c>
      <c r="O29" s="19">
        <f>Tax!O30</f>
        <v>2.195579221518756</v>
      </c>
      <c r="P29" s="19">
        <f>Tax!P30</f>
        <v>2.9711606059452653</v>
      </c>
      <c r="Q29" s="19">
        <f>Tax!Q30</f>
        <v>3.0743662449141955</v>
      </c>
      <c r="R29" s="19">
        <f>Tax!R30</f>
        <v>3.2003350010142766</v>
      </c>
      <c r="S29" s="19">
        <f>Tax!S30</f>
        <v>3.210644766550805</v>
      </c>
      <c r="T29" s="19">
        <f>Tax!T30</f>
        <v>3.0974131442338044</v>
      </c>
      <c r="U29" s="19">
        <f>Tax!U30</f>
        <v>3.1404426781098227</v>
      </c>
      <c r="V29" s="19">
        <f>Tax!V30</f>
        <v>3.011387824114378</v>
      </c>
      <c r="W29" s="19">
        <f>Tax!W30</f>
        <v>2.9551730272831365</v>
      </c>
      <c r="X29" s="19">
        <f>Tax!X30</f>
        <v>2.9846711133172747</v>
      </c>
      <c r="Y29" s="19">
        <f>Tax!Y30</f>
        <v>2.915703906996538</v>
      </c>
      <c r="Z29" s="19">
        <f>Tax!Z30</f>
        <v>2.71675929179703</v>
      </c>
      <c r="AA29" s="19">
        <f>Tax!AA30</f>
        <v>2.7434675365857033</v>
      </c>
      <c r="AB29" s="19">
        <f>Tax!AB30</f>
        <v>2.7247318418499584</v>
      </c>
      <c r="AC29" s="19">
        <f>Tax!AC30</f>
        <v>2.6460066664127346</v>
      </c>
      <c r="AD29" s="19">
        <f>Tax!AD30</f>
        <v>2.650074825854797</v>
      </c>
      <c r="AE29" s="19">
        <f>Tax!AE30</f>
        <v>2.638619784824194</v>
      </c>
    </row>
    <row r="30" spans="3:31" s="1" customFormat="1" ht="12.75">
      <c r="C30" s="16" t="s">
        <v>94</v>
      </c>
      <c r="D30" s="20" t="str">
        <f>D29</f>
        <v>Rs. Crores</v>
      </c>
      <c r="E30" s="21">
        <f>E28-E29</f>
        <v>0</v>
      </c>
      <c r="F30" s="21">
        <f aca="true" t="shared" si="23" ref="F30:O30">F28-F29</f>
        <v>0</v>
      </c>
      <c r="G30" s="21">
        <f t="shared" si="23"/>
        <v>5.855288333721521</v>
      </c>
      <c r="H30" s="21">
        <f t="shared" si="23"/>
        <v>4.603459543266244</v>
      </c>
      <c r="I30" s="21">
        <f t="shared" si="23"/>
        <v>5.757117854659246</v>
      </c>
      <c r="J30" s="21">
        <f t="shared" si="23"/>
        <v>6.764662727406638</v>
      </c>
      <c r="K30" s="21">
        <f t="shared" si="23"/>
        <v>7.077929244627166</v>
      </c>
      <c r="L30" s="21">
        <f t="shared" si="23"/>
        <v>7.383360028452249</v>
      </c>
      <c r="M30" s="21">
        <f t="shared" si="23"/>
        <v>7.459772453283538</v>
      </c>
      <c r="N30" s="21">
        <f t="shared" si="23"/>
        <v>7.745587283334297</v>
      </c>
      <c r="O30" s="21">
        <f t="shared" si="23"/>
        <v>7.898326475812436</v>
      </c>
      <c r="P30" s="21">
        <f>P28-P29</f>
        <v>7.319114080998126</v>
      </c>
      <c r="Q30" s="21">
        <f>Q28-Q29</f>
        <v>7.717724473262759</v>
      </c>
      <c r="R30" s="21">
        <f aca="true" t="shared" si="24" ref="R30:X30">R28-R29</f>
        <v>7.657415314021347</v>
      </c>
      <c r="S30" s="21">
        <f t="shared" si="24"/>
        <v>7.227628670345931</v>
      </c>
      <c r="T30" s="21">
        <f t="shared" si="24"/>
        <v>7.1966711176562335</v>
      </c>
      <c r="U30" s="21">
        <f t="shared" si="24"/>
        <v>7.0279394724204725</v>
      </c>
      <c r="V30" s="21">
        <f t="shared" si="24"/>
        <v>6.844918729024405</v>
      </c>
      <c r="W30" s="21">
        <f t="shared" si="24"/>
        <v>6.765791028674295</v>
      </c>
      <c r="X30" s="21">
        <f t="shared" si="24"/>
        <v>6.597271636687653</v>
      </c>
      <c r="Y30" s="21">
        <f aca="true" t="shared" si="25" ref="Y30:AE30">Y28-Y29</f>
        <v>5.984446955942505</v>
      </c>
      <c r="Z30" s="21">
        <f t="shared" si="25"/>
        <v>6.028441833027709</v>
      </c>
      <c r="AA30" s="21">
        <f t="shared" si="25"/>
        <v>5.842587547018779</v>
      </c>
      <c r="AB30" s="21">
        <f t="shared" si="25"/>
        <v>5.494939576057433</v>
      </c>
      <c r="AC30" s="21">
        <f t="shared" si="25"/>
        <v>5.402558165943457</v>
      </c>
      <c r="AD30" s="21">
        <f t="shared" si="25"/>
        <v>5.196456216758077</v>
      </c>
      <c r="AE30" s="21">
        <f t="shared" si="25"/>
        <v>5.02700251248509</v>
      </c>
    </row>
    <row r="31" spans="3:31" ht="12.75">
      <c r="C31" s="5" t="s">
        <v>287</v>
      </c>
      <c r="D31" s="5" t="s">
        <v>10</v>
      </c>
      <c r="E31" s="27">
        <f>IF(E6&lt;=0,0,E30/E6)</f>
        <v>0</v>
      </c>
      <c r="F31" s="27">
        <f aca="true" t="shared" si="26" ref="F31:Q31">IF(F6&lt;=0,0,F30/F6)</f>
        <v>0</v>
      </c>
      <c r="G31" s="27">
        <f t="shared" si="26"/>
        <v>0.174398773109842</v>
      </c>
      <c r="H31" s="27">
        <f t="shared" si="26"/>
        <v>0.12854368520954576</v>
      </c>
      <c r="I31" s="27">
        <f t="shared" si="26"/>
        <v>0.1513012782246396</v>
      </c>
      <c r="J31" s="27">
        <f t="shared" si="26"/>
        <v>0.16790361307048943</v>
      </c>
      <c r="K31" s="27">
        <f t="shared" si="26"/>
        <v>0.1756791049486337</v>
      </c>
      <c r="L31" s="27">
        <f t="shared" si="26"/>
        <v>0.18326010849806615</v>
      </c>
      <c r="M31" s="27">
        <f t="shared" si="26"/>
        <v>0.18515671779399911</v>
      </c>
      <c r="N31" s="27">
        <f t="shared" si="26"/>
        <v>0.19225083978772753</v>
      </c>
      <c r="O31" s="27">
        <f t="shared" si="26"/>
        <v>0.19604193230896252</v>
      </c>
      <c r="P31" s="27">
        <f t="shared" si="26"/>
        <v>0.18166547959528576</v>
      </c>
      <c r="Q31" s="27">
        <f t="shared" si="26"/>
        <v>0.19155926554820865</v>
      </c>
      <c r="R31" s="27">
        <f aca="true" t="shared" si="27" ref="R31:X31">IF(R6&lt;=0,0,R30/R6)</f>
        <v>0.19006235045488828</v>
      </c>
      <c r="S31" s="27">
        <f t="shared" si="27"/>
        <v>0.17939474835402106</v>
      </c>
      <c r="T31" s="27">
        <f t="shared" si="27"/>
        <v>0.17862636045977154</v>
      </c>
      <c r="U31" s="27">
        <f t="shared" si="27"/>
        <v>0.1744383241871526</v>
      </c>
      <c r="V31" s="27">
        <f t="shared" si="27"/>
        <v>0.16989562260373936</v>
      </c>
      <c r="W31" s="27">
        <f t="shared" si="27"/>
        <v>0.16793161828924252</v>
      </c>
      <c r="X31" s="27">
        <f t="shared" si="27"/>
        <v>0.16374885028924105</v>
      </c>
      <c r="Y31" s="27">
        <f aca="true" t="shared" si="28" ref="Y31:AE31">IF(Y6&lt;=0,0,Y30/Y6)</f>
        <v>0.14853811736400524</v>
      </c>
      <c r="Z31" s="27">
        <f t="shared" si="28"/>
        <v>0.14963010067741866</v>
      </c>
      <c r="AA31" s="27">
        <f t="shared" si="28"/>
        <v>0.14501706860427363</v>
      </c>
      <c r="AB31" s="27">
        <f t="shared" si="28"/>
        <v>0.1363882052369181</v>
      </c>
      <c r="AC31" s="27">
        <f t="shared" si="28"/>
        <v>0.13409523466857912</v>
      </c>
      <c r="AD31" s="27">
        <f t="shared" si="28"/>
        <v>0.1289796415749435</v>
      </c>
      <c r="AE31" s="27">
        <f t="shared" si="28"/>
        <v>0.12477368329703237</v>
      </c>
    </row>
    <row r="32" spans="3:31" ht="12.75">
      <c r="C32" s="5" t="s">
        <v>414</v>
      </c>
      <c r="D32" s="5" t="s">
        <v>10</v>
      </c>
      <c r="E32" s="27"/>
      <c r="F32" s="27"/>
      <c r="G32" s="27"/>
      <c r="H32" s="27"/>
      <c r="I32" s="27">
        <v>0.2</v>
      </c>
      <c r="J32" s="27">
        <f>I32</f>
        <v>0.2</v>
      </c>
      <c r="K32" s="27">
        <f aca="true" t="shared" si="29" ref="K32:AE32">J32</f>
        <v>0.2</v>
      </c>
      <c r="L32" s="27">
        <f t="shared" si="29"/>
        <v>0.2</v>
      </c>
      <c r="M32" s="27">
        <f t="shared" si="29"/>
        <v>0.2</v>
      </c>
      <c r="N32" s="27">
        <f t="shared" si="29"/>
        <v>0.2</v>
      </c>
      <c r="O32" s="27">
        <f t="shared" si="29"/>
        <v>0.2</v>
      </c>
      <c r="P32" s="27">
        <f t="shared" si="29"/>
        <v>0.2</v>
      </c>
      <c r="Q32" s="27">
        <f t="shared" si="29"/>
        <v>0.2</v>
      </c>
      <c r="R32" s="27">
        <f t="shared" si="29"/>
        <v>0.2</v>
      </c>
      <c r="S32" s="27">
        <f t="shared" si="29"/>
        <v>0.2</v>
      </c>
      <c r="T32" s="27">
        <f t="shared" si="29"/>
        <v>0.2</v>
      </c>
      <c r="U32" s="27">
        <f t="shared" si="29"/>
        <v>0.2</v>
      </c>
      <c r="V32" s="27">
        <f t="shared" si="29"/>
        <v>0.2</v>
      </c>
      <c r="W32" s="27">
        <f t="shared" si="29"/>
        <v>0.2</v>
      </c>
      <c r="X32" s="27">
        <f t="shared" si="29"/>
        <v>0.2</v>
      </c>
      <c r="Y32" s="27">
        <f t="shared" si="29"/>
        <v>0.2</v>
      </c>
      <c r="Z32" s="27">
        <f t="shared" si="29"/>
        <v>0.2</v>
      </c>
      <c r="AA32" s="27">
        <f t="shared" si="29"/>
        <v>0.2</v>
      </c>
      <c r="AB32" s="27">
        <f t="shared" si="29"/>
        <v>0.2</v>
      </c>
      <c r="AC32" s="27">
        <f t="shared" si="29"/>
        <v>0.2</v>
      </c>
      <c r="AD32" s="27">
        <f t="shared" si="29"/>
        <v>0.2</v>
      </c>
      <c r="AE32" s="27">
        <f t="shared" si="29"/>
        <v>0.2</v>
      </c>
    </row>
    <row r="33" spans="3:31" ht="12.75">
      <c r="C33" s="5" t="str">
        <f>C32</f>
        <v>Dividend Issued</v>
      </c>
      <c r="D33" s="5" t="str">
        <f>D30</f>
        <v>Rs. Crores</v>
      </c>
      <c r="E33" s="14">
        <f>E32*E30</f>
        <v>0</v>
      </c>
      <c r="F33" s="14">
        <f aca="true" t="shared" si="30" ref="F33:AE33">F32*F30</f>
        <v>0</v>
      </c>
      <c r="G33" s="14">
        <f t="shared" si="30"/>
        <v>0</v>
      </c>
      <c r="H33" s="14">
        <f t="shared" si="30"/>
        <v>0</v>
      </c>
      <c r="I33" s="14">
        <f t="shared" si="30"/>
        <v>1.1514235709318492</v>
      </c>
      <c r="J33" s="14">
        <f t="shared" si="30"/>
        <v>1.3529325454813277</v>
      </c>
      <c r="K33" s="14">
        <f t="shared" si="30"/>
        <v>1.4155858489254332</v>
      </c>
      <c r="L33" s="14">
        <f t="shared" si="30"/>
        <v>1.4766720056904499</v>
      </c>
      <c r="M33" s="14">
        <f t="shared" si="30"/>
        <v>1.4919544906567077</v>
      </c>
      <c r="N33" s="14">
        <f t="shared" si="30"/>
        <v>1.5491174566668595</v>
      </c>
      <c r="O33" s="14">
        <f t="shared" si="30"/>
        <v>1.5796652951624872</v>
      </c>
      <c r="P33" s="14">
        <f t="shared" si="30"/>
        <v>1.4638228161996254</v>
      </c>
      <c r="Q33" s="14">
        <f t="shared" si="30"/>
        <v>1.5435448946525518</v>
      </c>
      <c r="R33" s="14">
        <f t="shared" si="30"/>
        <v>1.5314830628042695</v>
      </c>
      <c r="S33" s="14">
        <f t="shared" si="30"/>
        <v>1.4455257340691863</v>
      </c>
      <c r="T33" s="14">
        <f t="shared" si="30"/>
        <v>1.4393342235312467</v>
      </c>
      <c r="U33" s="14">
        <f t="shared" si="30"/>
        <v>1.4055878944840945</v>
      </c>
      <c r="V33" s="14">
        <f t="shared" si="30"/>
        <v>1.368983745804881</v>
      </c>
      <c r="W33" s="14">
        <f t="shared" si="30"/>
        <v>1.353158205734859</v>
      </c>
      <c r="X33" s="14">
        <f t="shared" si="30"/>
        <v>1.3194543273375308</v>
      </c>
      <c r="Y33" s="14">
        <f t="shared" si="30"/>
        <v>1.196889391188501</v>
      </c>
      <c r="Z33" s="14">
        <f t="shared" si="30"/>
        <v>1.2056883666055418</v>
      </c>
      <c r="AA33" s="14">
        <f t="shared" si="30"/>
        <v>1.1685175094037559</v>
      </c>
      <c r="AB33" s="14">
        <f t="shared" si="30"/>
        <v>1.0989879152114868</v>
      </c>
      <c r="AC33" s="14">
        <f t="shared" si="30"/>
        <v>1.0805116331886915</v>
      </c>
      <c r="AD33" s="14">
        <f t="shared" si="30"/>
        <v>1.0392912433516155</v>
      </c>
      <c r="AE33" s="14">
        <f t="shared" si="30"/>
        <v>1.005400502497018</v>
      </c>
    </row>
    <row r="34" spans="3:31" ht="12.75">
      <c r="C34" s="5" t="s">
        <v>415</v>
      </c>
      <c r="D34" s="5" t="str">
        <f>D33</f>
        <v>Rs. Crores</v>
      </c>
      <c r="E34" s="14">
        <f>E30-E33</f>
        <v>0</v>
      </c>
      <c r="F34" s="14">
        <f aca="true" t="shared" si="31" ref="F34:AE34">F30-F33</f>
        <v>0</v>
      </c>
      <c r="G34" s="14">
        <f t="shared" si="31"/>
        <v>5.855288333721521</v>
      </c>
      <c r="H34" s="14">
        <f t="shared" si="31"/>
        <v>4.603459543266244</v>
      </c>
      <c r="I34" s="14">
        <f t="shared" si="31"/>
        <v>4.605694283727397</v>
      </c>
      <c r="J34" s="14">
        <f t="shared" si="31"/>
        <v>5.411730181925311</v>
      </c>
      <c r="K34" s="14">
        <f t="shared" si="31"/>
        <v>5.662343395701733</v>
      </c>
      <c r="L34" s="14">
        <f t="shared" si="31"/>
        <v>5.9066880227617995</v>
      </c>
      <c r="M34" s="14">
        <f t="shared" si="31"/>
        <v>5.96781796262683</v>
      </c>
      <c r="N34" s="14">
        <f t="shared" si="31"/>
        <v>6.196469826667437</v>
      </c>
      <c r="O34" s="14">
        <f t="shared" si="31"/>
        <v>6.318661180649949</v>
      </c>
      <c r="P34" s="14">
        <f t="shared" si="31"/>
        <v>5.855291264798501</v>
      </c>
      <c r="Q34" s="14">
        <f t="shared" si="31"/>
        <v>6.174179578610207</v>
      </c>
      <c r="R34" s="14">
        <f t="shared" si="31"/>
        <v>6.125932251217078</v>
      </c>
      <c r="S34" s="14">
        <f t="shared" si="31"/>
        <v>5.782102936276745</v>
      </c>
      <c r="T34" s="14">
        <f t="shared" si="31"/>
        <v>5.757336894124987</v>
      </c>
      <c r="U34" s="14">
        <f t="shared" si="31"/>
        <v>5.622351577936378</v>
      </c>
      <c r="V34" s="14">
        <f t="shared" si="31"/>
        <v>5.475934983219524</v>
      </c>
      <c r="W34" s="14">
        <f t="shared" si="31"/>
        <v>5.412632822939436</v>
      </c>
      <c r="X34" s="14">
        <f t="shared" si="31"/>
        <v>5.277817309350122</v>
      </c>
      <c r="Y34" s="14">
        <f t="shared" si="31"/>
        <v>4.787557564754004</v>
      </c>
      <c r="Z34" s="14">
        <f t="shared" si="31"/>
        <v>4.822753466422167</v>
      </c>
      <c r="AA34" s="14">
        <f t="shared" si="31"/>
        <v>4.674070037615023</v>
      </c>
      <c r="AB34" s="14">
        <f t="shared" si="31"/>
        <v>4.395951660845947</v>
      </c>
      <c r="AC34" s="14">
        <f t="shared" si="31"/>
        <v>4.322046532754766</v>
      </c>
      <c r="AD34" s="14">
        <f t="shared" si="31"/>
        <v>4.157164973406461</v>
      </c>
      <c r="AE34" s="14">
        <f t="shared" si="31"/>
        <v>4.021602009988072</v>
      </c>
    </row>
    <row r="35" spans="5:31" ht="12.75"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3:31" ht="12.75">
      <c r="C36" s="23" t="s">
        <v>95</v>
      </c>
      <c r="D36" s="9">
        <f>AVERAGE(G36:O36)</f>
        <v>0.21099670598980527</v>
      </c>
      <c r="E36" s="22">
        <f>IF(E28&lt;=0,0,E29/E28)</f>
        <v>0</v>
      </c>
      <c r="F36" s="22">
        <f aca="true" t="shared" si="32" ref="F36:Q36">IF(F28&lt;=0,0,F29/F28)</f>
        <v>0</v>
      </c>
      <c r="G36" s="22">
        <f t="shared" si="32"/>
        <v>0.24037902462403762</v>
      </c>
      <c r="H36" s="22">
        <f t="shared" si="32"/>
        <v>0.20586800000000002</v>
      </c>
      <c r="I36" s="22">
        <f t="shared" si="32"/>
        <v>0.20586800000000002</v>
      </c>
      <c r="J36" s="22">
        <f t="shared" si="32"/>
        <v>0.20586800000000002</v>
      </c>
      <c r="K36" s="22">
        <f t="shared" si="32"/>
        <v>0.20586800000000002</v>
      </c>
      <c r="L36" s="22">
        <f t="shared" si="32"/>
        <v>0.20586800000000002</v>
      </c>
      <c r="M36" s="22">
        <f t="shared" si="32"/>
        <v>0.20586800000000002</v>
      </c>
      <c r="N36" s="22">
        <f t="shared" si="32"/>
        <v>0.20586800000000002</v>
      </c>
      <c r="O36" s="22">
        <f t="shared" si="32"/>
        <v>0.21751532928420989</v>
      </c>
      <c r="P36" s="22">
        <f t="shared" si="32"/>
        <v>0.28873481965599646</v>
      </c>
      <c r="Q36" s="22">
        <f t="shared" si="32"/>
        <v>0.2848721647359846</v>
      </c>
      <c r="R36" s="22">
        <f aca="true" t="shared" si="33" ref="R36:X36">IF(R28&lt;=0,0,R29/R28)</f>
        <v>0.2947512061115007</v>
      </c>
      <c r="S36" s="22">
        <f t="shared" si="33"/>
        <v>0.30758389171929174</v>
      </c>
      <c r="T36" s="22">
        <f t="shared" si="33"/>
        <v>0.30089253841653574</v>
      </c>
      <c r="U36" s="22">
        <f t="shared" si="33"/>
        <v>0.3088438880069082</v>
      </c>
      <c r="V36" s="22">
        <f t="shared" si="33"/>
        <v>0.30552903441861684</v>
      </c>
      <c r="W36" s="22">
        <f t="shared" si="33"/>
        <v>0.3039999952959478</v>
      </c>
      <c r="X36" s="22">
        <f t="shared" si="33"/>
        <v>0.3114891406876481</v>
      </c>
      <c r="Y36" s="22">
        <f aca="true" t="shared" si="34" ref="Y36:AE36">IF(Y28&lt;=0,0,Y29/Y28)</f>
        <v>0.3276016274215944</v>
      </c>
      <c r="Z36" s="22">
        <f t="shared" si="34"/>
        <v>0.3106571539086788</v>
      </c>
      <c r="AA36" s="22">
        <f t="shared" si="34"/>
        <v>0.31952596505285613</v>
      </c>
      <c r="AB36" s="22">
        <f t="shared" si="34"/>
        <v>0.33148914394726925</v>
      </c>
      <c r="AC36" s="22">
        <f t="shared" si="34"/>
        <v>0.32875509131459957</v>
      </c>
      <c r="AD36" s="22">
        <f t="shared" si="34"/>
        <v>0.3377383982122537</v>
      </c>
      <c r="AE36" s="22">
        <f t="shared" si="34"/>
        <v>0.34421468766474156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3" max="3" width="21.00390625" style="0" customWidth="1"/>
    <col min="4" max="4" width="10.57421875" style="0" bestFit="1" customWidth="1"/>
    <col min="5" max="6" width="9.57421875" style="0" customWidth="1"/>
    <col min="7" max="15" width="9.57421875" style="0" bestFit="1" customWidth="1"/>
    <col min="16" max="17" width="9.57421875" style="0" customWidth="1"/>
    <col min="18" max="31" width="9.57421875" style="0" bestFit="1" customWidth="1"/>
  </cols>
  <sheetData>
    <row r="2" ht="12.75">
      <c r="C2" s="1" t="s">
        <v>40</v>
      </c>
    </row>
    <row r="3" spans="3:31" ht="12.75">
      <c r="C3" t="s">
        <v>96</v>
      </c>
      <c r="E3">
        <f>Input!E6</f>
        <v>0</v>
      </c>
      <c r="F3">
        <f>Input!F6</f>
        <v>0</v>
      </c>
      <c r="G3">
        <f>Input!G6</f>
        <v>365</v>
      </c>
      <c r="H3">
        <f>Input!H6</f>
        <v>365</v>
      </c>
      <c r="I3">
        <f>Input!I6</f>
        <v>365</v>
      </c>
      <c r="J3">
        <f>Input!J6</f>
        <v>365</v>
      </c>
      <c r="K3">
        <f>Input!K6</f>
        <v>365</v>
      </c>
      <c r="L3">
        <f>Input!L6</f>
        <v>365</v>
      </c>
      <c r="M3">
        <f>Input!M6</f>
        <v>365</v>
      </c>
      <c r="N3">
        <f>Input!N6</f>
        <v>365</v>
      </c>
      <c r="O3">
        <f>Input!O6</f>
        <v>365</v>
      </c>
      <c r="P3">
        <f>Input!P6</f>
        <v>365</v>
      </c>
      <c r="Q3">
        <f>Input!Q6</f>
        <v>365</v>
      </c>
      <c r="R3">
        <f>Input!R6</f>
        <v>365</v>
      </c>
      <c r="S3">
        <f>Input!S6</f>
        <v>365</v>
      </c>
      <c r="T3">
        <f>Input!T6</f>
        <v>365</v>
      </c>
      <c r="U3">
        <f>Input!U6</f>
        <v>365</v>
      </c>
      <c r="V3">
        <f>Input!V6</f>
        <v>365</v>
      </c>
      <c r="W3">
        <f>Input!W6</f>
        <v>365</v>
      </c>
      <c r="X3">
        <f>Input!X6</f>
        <v>365</v>
      </c>
      <c r="Y3">
        <f>Input!Y6</f>
        <v>365</v>
      </c>
      <c r="Z3">
        <f>Input!Z6</f>
        <v>365</v>
      </c>
      <c r="AA3">
        <f>Input!AA6</f>
        <v>365</v>
      </c>
      <c r="AB3">
        <f>Input!AB6</f>
        <v>365</v>
      </c>
      <c r="AC3">
        <f>Input!AC6</f>
        <v>365</v>
      </c>
      <c r="AD3">
        <f>Input!AD6</f>
        <v>365</v>
      </c>
      <c r="AE3">
        <f>Input!AE6</f>
        <v>365</v>
      </c>
    </row>
    <row r="4" spans="3:31" ht="12.75">
      <c r="C4" s="59" t="s">
        <v>1</v>
      </c>
      <c r="D4" s="59" t="s">
        <v>2</v>
      </c>
      <c r="E4" s="60">
        <f>'P&amp;L'!E4</f>
        <v>44651</v>
      </c>
      <c r="F4" s="60">
        <f>'P&amp;L'!F4</f>
        <v>45016</v>
      </c>
      <c r="G4" s="60">
        <f>'P&amp;L'!G4</f>
        <v>45382</v>
      </c>
      <c r="H4" s="60">
        <f>'P&amp;L'!H4</f>
        <v>45747</v>
      </c>
      <c r="I4" s="60">
        <f>'P&amp;L'!I4</f>
        <v>46112</v>
      </c>
      <c r="J4" s="60">
        <f>'P&amp;L'!J4</f>
        <v>46477</v>
      </c>
      <c r="K4" s="60">
        <f>'P&amp;L'!K4</f>
        <v>46843</v>
      </c>
      <c r="L4" s="60">
        <f>'P&amp;L'!L4</f>
        <v>47208</v>
      </c>
      <c r="M4" s="60">
        <f>'P&amp;L'!M4</f>
        <v>47573</v>
      </c>
      <c r="N4" s="60">
        <f>'P&amp;L'!N4</f>
        <v>47938</v>
      </c>
      <c r="O4" s="60">
        <f>'P&amp;L'!O4</f>
        <v>48304</v>
      </c>
      <c r="P4" s="60">
        <f>'P&amp;L'!P4</f>
        <v>48669</v>
      </c>
      <c r="Q4" s="60">
        <f>'P&amp;L'!Q4</f>
        <v>49034</v>
      </c>
      <c r="R4" s="60">
        <f>'P&amp;L'!R4</f>
        <v>49399</v>
      </c>
      <c r="S4" s="60">
        <f>'P&amp;L'!S4</f>
        <v>49765</v>
      </c>
      <c r="T4" s="60">
        <f>'P&amp;L'!T4</f>
        <v>50130</v>
      </c>
      <c r="U4" s="60">
        <f>'P&amp;L'!U4</f>
        <v>50495</v>
      </c>
      <c r="V4" s="60">
        <f>'P&amp;L'!V4</f>
        <v>50860</v>
      </c>
      <c r="W4" s="60">
        <f>'P&amp;L'!W4</f>
        <v>51226</v>
      </c>
      <c r="X4" s="60">
        <f>'P&amp;L'!X4</f>
        <v>51591</v>
      </c>
      <c r="Y4" s="60">
        <f>'P&amp;L'!Y4</f>
        <v>51956</v>
      </c>
      <c r="Z4" s="60">
        <f>'P&amp;L'!Z4</f>
        <v>52321</v>
      </c>
      <c r="AA4" s="60">
        <f>'P&amp;L'!AA4</f>
        <v>52687</v>
      </c>
      <c r="AB4" s="60">
        <f>'P&amp;L'!AB4</f>
        <v>53052</v>
      </c>
      <c r="AC4" s="60">
        <f>'P&amp;L'!AC4</f>
        <v>53417</v>
      </c>
      <c r="AD4" s="60">
        <f>'P&amp;L'!AD4</f>
        <v>53782</v>
      </c>
      <c r="AE4" s="60">
        <f>'P&amp;L'!AE4</f>
        <v>54148</v>
      </c>
    </row>
    <row r="5" spans="3:31" ht="12.75">
      <c r="C5" s="11" t="s">
        <v>281</v>
      </c>
      <c r="D5" s="5" t="s">
        <v>22</v>
      </c>
      <c r="E5" s="14">
        <f>IF(E3&lt;=0,0,'P&amp;L'!E8*Input!$E$112/WC!E3)</f>
        <v>0</v>
      </c>
      <c r="F5" s="14">
        <f>IF(F3&lt;=0,0,'P&amp;L'!F8*Input!$E$112/WC!F3)</f>
        <v>0</v>
      </c>
      <c r="G5" s="14">
        <f>IF(G3&lt;=0,0,'P&amp;L'!G8*Input!$E$112/WC!G3)</f>
        <v>1.1663999999999999</v>
      </c>
      <c r="H5" s="14">
        <f>IF(H3&lt;=0,0,'P&amp;L'!H8*Input!$E$112/WC!H3)</f>
        <v>1.24416</v>
      </c>
      <c r="I5" s="14">
        <f>IF(I3&lt;=0,0,'P&amp;L'!I8*Input!$E$112/WC!I3)</f>
        <v>1.3219200000000002</v>
      </c>
      <c r="J5" s="14">
        <f>IF(J3&lt;=0,0,'P&amp;L'!J8*Input!$E$112/WC!J3)</f>
        <v>1.3996800000000005</v>
      </c>
      <c r="K5" s="14">
        <f>IF(K3&lt;=0,0,'P&amp;L'!K8*Input!$E$112/WC!K3)</f>
        <v>1.39968</v>
      </c>
      <c r="L5" s="14">
        <f>IF(L3&lt;=0,0,'P&amp;L'!L8*Input!$E$112/WC!L3)</f>
        <v>1.39968</v>
      </c>
      <c r="M5" s="14">
        <f>IF(M3&lt;=0,0,'P&amp;L'!M8*Input!$E$112/WC!M3)</f>
        <v>1.39968</v>
      </c>
      <c r="N5" s="14">
        <f>IF(N3&lt;=0,0,'P&amp;L'!N8*Input!$E$112/WC!N3)</f>
        <v>1.39968</v>
      </c>
      <c r="O5" s="14">
        <f>IF(O3&lt;=0,0,'P&amp;L'!O8*Input!$E$112/WC!O3)</f>
        <v>1.39968</v>
      </c>
      <c r="P5" s="14">
        <f>IF(P3&lt;=0,0,'P&amp;L'!P8*Input!$E$112/WC!P3)</f>
        <v>1.39968</v>
      </c>
      <c r="Q5" s="14">
        <f>IF(Q3&lt;=0,0,'P&amp;L'!Q8*Input!$E$112/WC!Q3)</f>
        <v>1.39968</v>
      </c>
      <c r="R5" s="14">
        <f>IF(R3&lt;=0,0,'P&amp;L'!R8*Input!$E$112/WC!R3)</f>
        <v>1.39968</v>
      </c>
      <c r="S5" s="14">
        <f>IF(S3&lt;=0,0,'P&amp;L'!S8*Input!$E$112/WC!S3)</f>
        <v>1.39968</v>
      </c>
      <c r="T5" s="14">
        <f>IF(T3&lt;=0,0,'P&amp;L'!T8*Input!$E$112/WC!T3)</f>
        <v>1.39968</v>
      </c>
      <c r="U5" s="14">
        <f>IF(U3&lt;=0,0,'P&amp;L'!U8*Input!$E$112/WC!U3)</f>
        <v>1.39968</v>
      </c>
      <c r="V5" s="14">
        <f>IF(V3&lt;=0,0,'P&amp;L'!V8*Input!$E$112/WC!V3)</f>
        <v>1.39968</v>
      </c>
      <c r="W5" s="14">
        <f>IF(W3&lt;=0,0,'P&amp;L'!W8*Input!$E$112/WC!W3)</f>
        <v>1.39968</v>
      </c>
      <c r="X5" s="14">
        <f>IF(X3&lt;=0,0,'P&amp;L'!X8*Input!$E$112/WC!X3)</f>
        <v>1.39968</v>
      </c>
      <c r="Y5" s="14">
        <f>IF(Y3&lt;=0,0,'P&amp;L'!Y8*Input!$E$112/WC!Y3)</f>
        <v>1.39968</v>
      </c>
      <c r="Z5" s="14">
        <f>IF(Z3&lt;=0,0,'P&amp;L'!Z8*Input!$E$112/WC!Z3)</f>
        <v>1.39968</v>
      </c>
      <c r="AA5" s="14">
        <f>IF(AA3&lt;=0,0,'P&amp;L'!AA8*Input!$E$112/WC!AA3)</f>
        <v>1.39968</v>
      </c>
      <c r="AB5" s="14">
        <f>IF(AB3&lt;=0,0,'P&amp;L'!AB8*Input!$E$112/WC!AB3)</f>
        <v>1.39968</v>
      </c>
      <c r="AC5" s="14">
        <f>IF(AC3&lt;=0,0,'P&amp;L'!AC8*Input!$E$112/WC!AC3)</f>
        <v>1.39968</v>
      </c>
      <c r="AD5" s="14">
        <f>IF(AD3&lt;=0,0,'P&amp;L'!AD8*Input!$E$112/WC!AD3)</f>
        <v>1.39968</v>
      </c>
      <c r="AE5" s="14">
        <f>IF(AE3&lt;=0,0,'P&amp;L'!AE8*Input!$E$112/WC!AE3)</f>
        <v>1.39968</v>
      </c>
    </row>
    <row r="6" spans="3:31" ht="12.75">
      <c r="C6" s="11" t="s">
        <v>282</v>
      </c>
      <c r="D6" s="5" t="str">
        <f aca="true" t="shared" si="0" ref="D6:D13">D5</f>
        <v>Rs. Crores</v>
      </c>
      <c r="E6" s="14">
        <f>IF(E3&lt;=0,0,Input!$E$114*'P&amp;L'!E9)</f>
        <v>0</v>
      </c>
      <c r="F6" s="14">
        <f>IF(F3&lt;=0,0,Input!$E$114*'P&amp;L'!F9)</f>
        <v>0</v>
      </c>
      <c r="G6" s="14">
        <f>IF(G3&lt;=0,0,Input!$E$114*'P&amp;L'!G9)</f>
        <v>0.2395863985982139</v>
      </c>
      <c r="H6" s="14">
        <f>IF(H3&lt;=0,0,Input!$E$114*'P&amp;L'!H9)</f>
        <v>0.2467739905561603</v>
      </c>
      <c r="I6" s="14">
        <f>IF(I3&lt;=0,0,Input!$E$114*'P&amp;L'!I9)</f>
        <v>0.2541772102728451</v>
      </c>
      <c r="J6" s="14">
        <f>IF(J3&lt;=0,0,Input!$E$114*'P&amp;L'!J9)</f>
        <v>0.2721287967310305</v>
      </c>
      <c r="K6" s="14">
        <f>IF(K3&lt;=0,0,Input!$E$114*'P&amp;L'!K9)</f>
        <v>0.28029266063296143</v>
      </c>
      <c r="L6" s="14">
        <f>IF(L3&lt;=0,0,Input!$E$114*'P&amp;L'!L9)</f>
        <v>0.28870144045195034</v>
      </c>
      <c r="M6" s="14">
        <f>IF(M3&lt;=0,0,Input!$E$114*'P&amp;L'!M9)</f>
        <v>0.3161688073358406</v>
      </c>
      <c r="N6" s="14">
        <f>IF(N3&lt;=0,0,Input!$E$114*'P&amp;L'!N9)</f>
        <v>0.3256538715559158</v>
      </c>
      <c r="O6" s="14">
        <f>IF(O3&lt;=0,0,Input!$E$114*'P&amp;L'!O9)</f>
        <v>0.3359935342392177</v>
      </c>
      <c r="P6" s="14">
        <f>IF(P3&lt;=0,0,Input!$E$114*'P&amp;L'!P9)</f>
        <v>0.3695592575753206</v>
      </c>
      <c r="Q6" s="14">
        <f>IF(Q3&lt;=0,0,Input!$E$114*'P&amp;L'!Q9)</f>
        <v>0.3806460353025803</v>
      </c>
      <c r="R6" s="14">
        <f>IF(R3&lt;=0,0,Input!$E$114*'P&amp;L'!R9)</f>
        <v>0.39206541636165765</v>
      </c>
      <c r="S6" s="14">
        <f>IF(S3&lt;=0,0,Input!$E$114*'P&amp;L'!S9)</f>
        <v>0.42628311282033476</v>
      </c>
      <c r="T6" s="14">
        <f>IF(T3&lt;=0,0,Input!$E$114*'P&amp;L'!T9)</f>
        <v>0.44072370663257776</v>
      </c>
      <c r="U6" s="14">
        <f>IF(U3&lt;=0,0,Input!$E$114*'P&amp;L'!U9)</f>
        <v>0.4539454178315551</v>
      </c>
      <c r="V6" s="14">
        <f>IF(V3&lt;=0,0,Input!$E$114*'P&amp;L'!V9)</f>
        <v>0.48158548711590876</v>
      </c>
      <c r="W6" s="14">
        <f>IF(W3&lt;=0,0,Input!$E$114*'P&amp;L'!W9)</f>
        <v>0.49603305172938594</v>
      </c>
      <c r="X6" s="14">
        <f>IF(X3&lt;=0,0,Input!$E$114*'P&amp;L'!X9)</f>
        <v>0.5109140432812675</v>
      </c>
      <c r="Y6" s="14">
        <f>IF(Y3&lt;=0,0,Input!$E$114*'P&amp;L'!Y9)</f>
        <v>0.5691427777229512</v>
      </c>
      <c r="Z6" s="14">
        <f>IF(Z3&lt;=0,0,Input!$E$114*'P&amp;L'!Z9)</f>
        <v>0.5862170610546398</v>
      </c>
      <c r="AA6" s="14">
        <f>IF(AA3&lt;=0,0,Input!$E$114*'P&amp;L'!AA9)</f>
        <v>0.6038035728862791</v>
      </c>
      <c r="AB6" s="14">
        <f>IF(AB3&lt;=0,0,Input!$E$114*'P&amp;L'!AB9)</f>
        <v>0.6386603312182529</v>
      </c>
      <c r="AC6" s="14">
        <f>IF(AC3&lt;=0,0,Input!$E$114*'P&amp;L'!AC9)</f>
        <v>0.6578201411548005</v>
      </c>
      <c r="AD6" s="14">
        <f>IF(AD3&lt;=0,0,Input!$E$114*'P&amp;L'!AD9)</f>
        <v>0.679775030214462</v>
      </c>
      <c r="AE6" s="14">
        <f>IF(AE3&lt;=0,0,Input!$E$114*'P&amp;L'!AE9)</f>
        <v>0.7001682811208958</v>
      </c>
    </row>
    <row r="7" spans="3:31" ht="12.75">
      <c r="C7" s="11" t="s">
        <v>42</v>
      </c>
      <c r="D7" s="5" t="str">
        <f t="shared" si="0"/>
        <v>Rs. Crores</v>
      </c>
      <c r="E7" s="14">
        <f>IF(E3&lt;=0,0,'P&amp;L'!E6*Input!$E$115/WC!E3)</f>
        <v>0</v>
      </c>
      <c r="F7" s="14">
        <f>IF(F3&lt;=0,0,'P&amp;L'!F6*Input!$E$115/WC!F3)</f>
        <v>0</v>
      </c>
      <c r="G7" s="14">
        <f>IF(G3&lt;=0,0,'P&amp;L'!G6*Input!$E$115/WC!G3)</f>
        <v>2.759518125</v>
      </c>
      <c r="H7" s="14">
        <f>IF(H3&lt;=0,0,'P&amp;L'!H6*Input!$E$115/WC!H3)</f>
        <v>2.943486</v>
      </c>
      <c r="I7" s="14">
        <f>IF(I3&lt;=0,0,'P&amp;L'!I6*Input!$E$115/WC!I3)</f>
        <v>3.1274538750000014</v>
      </c>
      <c r="J7" s="14">
        <f>IF(J3&lt;=0,0,'P&amp;L'!J6*Input!$E$115/WC!J3)</f>
        <v>3.311421750000001</v>
      </c>
      <c r="K7" s="14">
        <f>IF(K3&lt;=0,0,'P&amp;L'!K6*Input!$E$115/WC!K3)</f>
        <v>3.31142175</v>
      </c>
      <c r="L7" s="14">
        <f>IF(L3&lt;=0,0,'P&amp;L'!L6*Input!$E$115/WC!L3)</f>
        <v>3.31142175</v>
      </c>
      <c r="M7" s="14">
        <f>IF(M3&lt;=0,0,'P&amp;L'!M6*Input!$E$115/WC!M3)</f>
        <v>3.31142175</v>
      </c>
      <c r="N7" s="14">
        <f>IF(N3&lt;=0,0,'P&amp;L'!N6*Input!$E$115/WC!N3)</f>
        <v>3.31142175</v>
      </c>
      <c r="O7" s="14">
        <f>IF(O3&lt;=0,0,'P&amp;L'!O6*Input!$E$115/WC!O3)</f>
        <v>3.31142175</v>
      </c>
      <c r="P7" s="14">
        <f>IF(P3&lt;=0,0,'P&amp;L'!P6*Input!$E$115/WC!P3)</f>
        <v>3.31142175</v>
      </c>
      <c r="Q7" s="14">
        <f>IF(Q3&lt;=0,0,'P&amp;L'!Q6*Input!$E$115/WC!Q3)</f>
        <v>3.31142175</v>
      </c>
      <c r="R7" s="14">
        <f>IF(R3&lt;=0,0,'P&amp;L'!R6*Input!$E$115/WC!R3)</f>
        <v>3.31142175</v>
      </c>
      <c r="S7" s="14">
        <f>IF(S3&lt;=0,0,'P&amp;L'!S6*Input!$E$115/WC!S3)</f>
        <v>3.31142175</v>
      </c>
      <c r="T7" s="14">
        <f>IF(T3&lt;=0,0,'P&amp;L'!T6*Input!$E$115/WC!T3)</f>
        <v>3.31142175</v>
      </c>
      <c r="U7" s="14">
        <f>IF(U3&lt;=0,0,'P&amp;L'!U6*Input!$E$115/WC!U3)</f>
        <v>3.31142175</v>
      </c>
      <c r="V7" s="14">
        <f>IF(V3&lt;=0,0,'P&amp;L'!V6*Input!$E$115/WC!V3)</f>
        <v>3.31142175</v>
      </c>
      <c r="W7" s="14">
        <f>IF(W3&lt;=0,0,'P&amp;L'!W6*Input!$E$115/WC!W3)</f>
        <v>3.31142175</v>
      </c>
      <c r="X7" s="14">
        <f>IF(X3&lt;=0,0,'P&amp;L'!X6*Input!$E$115/WC!X3)</f>
        <v>3.31142175</v>
      </c>
      <c r="Y7" s="14">
        <f>IF(Y3&lt;=0,0,'P&amp;L'!Y6*Input!$E$115/WC!Y3)</f>
        <v>3.31142175</v>
      </c>
      <c r="Z7" s="14">
        <f>IF(Z3&lt;=0,0,'P&amp;L'!Z6*Input!$E$115/WC!Z3)</f>
        <v>3.31142175</v>
      </c>
      <c r="AA7" s="14">
        <f>IF(AA3&lt;=0,0,'P&amp;L'!AA6*Input!$E$115/WC!AA3)</f>
        <v>3.31142175</v>
      </c>
      <c r="AB7" s="14">
        <f>IF(AB3&lt;=0,0,'P&amp;L'!AB6*Input!$E$115/WC!AB3)</f>
        <v>3.31142175</v>
      </c>
      <c r="AC7" s="14">
        <f>IF(AC3&lt;=0,0,'P&amp;L'!AC6*Input!$E$115/WC!AC3)</f>
        <v>3.31142175</v>
      </c>
      <c r="AD7" s="14">
        <f>IF(AD3&lt;=0,0,'P&amp;L'!AD6*Input!$E$115/WC!AD3)</f>
        <v>3.31142175</v>
      </c>
      <c r="AE7" s="14">
        <f>IF(AE3&lt;=0,0,'P&amp;L'!AE6*Input!$E$115/WC!AE3)</f>
        <v>3.31142175</v>
      </c>
    </row>
    <row r="8" spans="3:31" s="1" customFormat="1" ht="12.75">
      <c r="C8" s="16" t="s">
        <v>97</v>
      </c>
      <c r="D8" s="20" t="str">
        <f t="shared" si="0"/>
        <v>Rs. Crores</v>
      </c>
      <c r="E8" s="28">
        <f aca="true" t="shared" si="1" ref="E8:Q8">SUM(E5:E7)</f>
        <v>0</v>
      </c>
      <c r="F8" s="28">
        <f t="shared" si="1"/>
        <v>0</v>
      </c>
      <c r="G8" s="28">
        <f t="shared" si="1"/>
        <v>4.165504523598214</v>
      </c>
      <c r="H8" s="28">
        <f t="shared" si="1"/>
        <v>4.43441999055616</v>
      </c>
      <c r="I8" s="28">
        <f t="shared" si="1"/>
        <v>4.703551085272847</v>
      </c>
      <c r="J8" s="28">
        <f t="shared" si="1"/>
        <v>4.983230546731032</v>
      </c>
      <c r="K8" s="28">
        <f t="shared" si="1"/>
        <v>4.991394410632962</v>
      </c>
      <c r="L8" s="28">
        <f t="shared" si="1"/>
        <v>4.99980319045195</v>
      </c>
      <c r="M8" s="28">
        <f t="shared" si="1"/>
        <v>5.027270557335841</v>
      </c>
      <c r="N8" s="28">
        <f t="shared" si="1"/>
        <v>5.0367556215559155</v>
      </c>
      <c r="O8" s="28">
        <f t="shared" si="1"/>
        <v>5.047095284239218</v>
      </c>
      <c r="P8" s="28">
        <f t="shared" si="1"/>
        <v>5.080661007575321</v>
      </c>
      <c r="Q8" s="28">
        <f t="shared" si="1"/>
        <v>5.09174778530258</v>
      </c>
      <c r="R8" s="28">
        <f aca="true" t="shared" si="2" ref="R8:X8">SUM(R5:R7)</f>
        <v>5.103167166361658</v>
      </c>
      <c r="S8" s="28">
        <f t="shared" si="2"/>
        <v>5.137384862820335</v>
      </c>
      <c r="T8" s="28">
        <f t="shared" si="2"/>
        <v>5.151825456632578</v>
      </c>
      <c r="U8" s="28">
        <f t="shared" si="2"/>
        <v>5.165047167831555</v>
      </c>
      <c r="V8" s="28">
        <f t="shared" si="2"/>
        <v>5.1926872371159085</v>
      </c>
      <c r="W8" s="28">
        <f t="shared" si="2"/>
        <v>5.207134801729386</v>
      </c>
      <c r="X8" s="28">
        <f t="shared" si="2"/>
        <v>5.222015793281267</v>
      </c>
      <c r="Y8" s="28">
        <f aca="true" t="shared" si="3" ref="Y8:AE8">SUM(Y5:Y7)</f>
        <v>5.280244527722951</v>
      </c>
      <c r="Z8" s="28">
        <f t="shared" si="3"/>
        <v>5.29731881105464</v>
      </c>
      <c r="AA8" s="28">
        <f t="shared" si="3"/>
        <v>5.314905322886279</v>
      </c>
      <c r="AB8" s="28">
        <f t="shared" si="3"/>
        <v>5.349762081218254</v>
      </c>
      <c r="AC8" s="28">
        <f t="shared" si="3"/>
        <v>5.3689218911548</v>
      </c>
      <c r="AD8" s="28">
        <f t="shared" si="3"/>
        <v>5.390876780214462</v>
      </c>
      <c r="AE8" s="28">
        <f t="shared" si="3"/>
        <v>5.411270031120896</v>
      </c>
    </row>
    <row r="9" spans="3:31" ht="12.75">
      <c r="C9" s="11" t="s">
        <v>98</v>
      </c>
      <c r="D9" s="5" t="str">
        <f t="shared" si="0"/>
        <v>Rs. Crores</v>
      </c>
      <c r="E9" s="14">
        <f>IF(E3&lt;=0,0,Input!$E$116*('P&amp;L'!E9+'P&amp;L'!E11)/WC!E3)</f>
        <v>0</v>
      </c>
      <c r="F9" s="14">
        <f>IF(F3&lt;=0,0,Input!$E$116*('P&amp;L'!F9+'P&amp;L'!F11)/WC!F3)</f>
        <v>0</v>
      </c>
      <c r="G9" s="14">
        <f>IF(G3&lt;=0,0,Input!$E$116*('P&amp;L'!G9+'P&amp;L'!G11)/WC!G3)</f>
        <v>0.31064889653498023</v>
      </c>
      <c r="H9" s="14">
        <f>IF(H3&lt;=0,0,Input!$E$116*('P&amp;L'!H9+'P&amp;L'!H11)/WC!H3)</f>
        <v>0.3361115444622797</v>
      </c>
      <c r="I9" s="14">
        <f>IF(I3&lt;=0,0,Input!$E$116*('P&amp;L'!I9+'P&amp;L'!I11)/WC!I3)</f>
        <v>0.3633963470283356</v>
      </c>
      <c r="J9" s="14">
        <f>IF(J3&lt;=0,0,Input!$E$116*('P&amp;L'!J9+'P&amp;L'!J11)/WC!J3)</f>
        <v>0.39828166865900444</v>
      </c>
      <c r="K9" s="14">
        <f>IF(K3&lt;=0,0,Input!$E$116*('P&amp;L'!K9+'P&amp;L'!K11)/WC!K3)</f>
        <v>0.4152135187031213</v>
      </c>
      <c r="L9" s="14">
        <f>IF(L3&lt;=0,0,Input!$E$116*('P&amp;L'!L9+'P&amp;L'!L11)/WC!L3)</f>
        <v>0.43290249424777927</v>
      </c>
      <c r="M9" s="14">
        <f>IF(M3&lt;=0,0,Input!$E$116*('P&amp;L'!M9+'P&amp;L'!M11)/WC!M3)</f>
        <v>0.46168860244580806</v>
      </c>
      <c r="N9" s="14">
        <f>IF(N3&lt;=0,0,Input!$E$116*('P&amp;L'!N9+'P&amp;L'!N11)/WC!N3)</f>
        <v>0.48130816892606193</v>
      </c>
      <c r="O9" s="14">
        <f>IF(O3&lt;=0,0,Input!$E$116*('P&amp;L'!O9+'P&amp;L'!O11)/WC!O3)</f>
        <v>0.5021171220877108</v>
      </c>
      <c r="P9" s="14">
        <f>IF(P3&lt;=0,0,Input!$E$116*('P&amp;L'!P9+'P&amp;L'!P11)/WC!P3)</f>
        <v>0.5205092992581782</v>
      </c>
      <c r="Q9" s="14">
        <f>IF(Q3&lt;=0,0,Input!$E$116*('P&amp;L'!Q9+'P&amp;L'!Q11)/WC!Q3)</f>
        <v>0.5265842459580464</v>
      </c>
      <c r="R9" s="14">
        <f>IF(R3&lt;=0,0,Input!$E$116*('P&amp;L'!R9+'P&amp;L'!R11)/WC!R3)</f>
        <v>0.5328414410589107</v>
      </c>
      <c r="S9" s="14">
        <f>IF(S3&lt;=0,0,Input!$E$116*('P&amp;L'!S9+'P&amp;L'!S11)/WC!S3)</f>
        <v>0.5515908637759941</v>
      </c>
      <c r="T9" s="14">
        <f>IF(T3&lt;=0,0,Input!$E$116*('P&amp;L'!T9+'P&amp;L'!T11)/WC!T3)</f>
        <v>0.559503517919689</v>
      </c>
      <c r="U9" s="14">
        <f>IF(U3&lt;=0,0,Input!$E$116*('P&amp;L'!U9+'P&amp;L'!U11)/WC!U3)</f>
        <v>0.5667482911794026</v>
      </c>
      <c r="V9" s="14">
        <f>IF(V3&lt;=0,0,Input!$E$116*('P&amp;L'!V9+'P&amp;L'!V11)/WC!V3)</f>
        <v>0.581893534622884</v>
      </c>
      <c r="W9" s="14">
        <f>IF(W3&lt;=0,0,Input!$E$116*('P&amp;L'!W9+'P&amp;L'!W11)/WC!W3)</f>
        <v>0.5898100083836935</v>
      </c>
      <c r="X9" s="14">
        <f>IF(X3&lt;=0,0,Input!$E$116*('P&amp;L'!X9+'P&amp;L'!X11)/WC!X3)</f>
        <v>0.5979639763573271</v>
      </c>
      <c r="Y9" s="14">
        <f>IF(Y3&lt;=0,0,Input!$E$116*('P&amp;L'!Y9+'P&amp;L'!Y11)/WC!Y3)</f>
        <v>0.6298701322157839</v>
      </c>
      <c r="Z9" s="14">
        <f>IF(Z3&lt;=0,0,Input!$E$116*('P&amp;L'!Z9+'P&amp;L'!Z11)/WC!Z3)</f>
        <v>0.6392259039043805</v>
      </c>
      <c r="AA9" s="14">
        <f>IF(AA3&lt;=0,0,Input!$E$116*('P&amp;L'!AA9+'P&amp;L'!AA11)/WC!AA3)</f>
        <v>0.6488623487436349</v>
      </c>
      <c r="AB9" s="14">
        <f>IF(AB3&lt;=0,0,Input!$E$116*('P&amp;L'!AB9+'P&amp;L'!AB11)/WC!AB3)</f>
        <v>0.6679619423501959</v>
      </c>
      <c r="AC9" s="14">
        <f>IF(AC3&lt;=0,0,Input!$E$116*('P&amp;L'!AC9+'P&amp;L'!AC11)/WC!AC3)</f>
        <v>0.6784604683428247</v>
      </c>
      <c r="AD9" s="14">
        <f>IF(AD3&lt;=0,0,Input!$E$116*('P&amp;L'!AD9+'P&amp;L'!AD11)/WC!AD3)</f>
        <v>0.6904905445398996</v>
      </c>
      <c r="AE9" s="14">
        <f>IF(AE3&lt;=0,0,Input!$E$116*('P&amp;L'!AE9+'P&amp;L'!AE11)/WC!AE3)</f>
        <v>0.7016649285982193</v>
      </c>
    </row>
    <row r="10" spans="3:31" s="1" customFormat="1" ht="12.75">
      <c r="C10" s="16" t="s">
        <v>99</v>
      </c>
      <c r="D10" s="20" t="str">
        <f t="shared" si="0"/>
        <v>Rs. Crores</v>
      </c>
      <c r="E10" s="28">
        <f aca="true" t="shared" si="4" ref="E10:Q10">SUM(E9:E9)</f>
        <v>0</v>
      </c>
      <c r="F10" s="28">
        <f t="shared" si="4"/>
        <v>0</v>
      </c>
      <c r="G10" s="28">
        <f t="shared" si="4"/>
        <v>0.31064889653498023</v>
      </c>
      <c r="H10" s="28">
        <f t="shared" si="4"/>
        <v>0.3361115444622797</v>
      </c>
      <c r="I10" s="28">
        <f t="shared" si="4"/>
        <v>0.3633963470283356</v>
      </c>
      <c r="J10" s="28">
        <f t="shared" si="4"/>
        <v>0.39828166865900444</v>
      </c>
      <c r="K10" s="28">
        <f t="shared" si="4"/>
        <v>0.4152135187031213</v>
      </c>
      <c r="L10" s="28">
        <f t="shared" si="4"/>
        <v>0.43290249424777927</v>
      </c>
      <c r="M10" s="28">
        <f t="shared" si="4"/>
        <v>0.46168860244580806</v>
      </c>
      <c r="N10" s="28">
        <f t="shared" si="4"/>
        <v>0.48130816892606193</v>
      </c>
      <c r="O10" s="28">
        <f t="shared" si="4"/>
        <v>0.5021171220877108</v>
      </c>
      <c r="P10" s="28">
        <f t="shared" si="4"/>
        <v>0.5205092992581782</v>
      </c>
      <c r="Q10" s="28">
        <f t="shared" si="4"/>
        <v>0.5265842459580464</v>
      </c>
      <c r="R10" s="28">
        <f aca="true" t="shared" si="5" ref="R10:X10">SUM(R9:R9)</f>
        <v>0.5328414410589107</v>
      </c>
      <c r="S10" s="28">
        <f t="shared" si="5"/>
        <v>0.5515908637759941</v>
      </c>
      <c r="T10" s="28">
        <f t="shared" si="5"/>
        <v>0.559503517919689</v>
      </c>
      <c r="U10" s="28">
        <f t="shared" si="5"/>
        <v>0.5667482911794026</v>
      </c>
      <c r="V10" s="28">
        <f t="shared" si="5"/>
        <v>0.581893534622884</v>
      </c>
      <c r="W10" s="28">
        <f t="shared" si="5"/>
        <v>0.5898100083836935</v>
      </c>
      <c r="X10" s="28">
        <f t="shared" si="5"/>
        <v>0.5979639763573271</v>
      </c>
      <c r="Y10" s="28">
        <f aca="true" t="shared" si="6" ref="Y10:AE10">SUM(Y9:Y9)</f>
        <v>0.6298701322157839</v>
      </c>
      <c r="Z10" s="28">
        <f t="shared" si="6"/>
        <v>0.6392259039043805</v>
      </c>
      <c r="AA10" s="28">
        <f t="shared" si="6"/>
        <v>0.6488623487436349</v>
      </c>
      <c r="AB10" s="28">
        <f t="shared" si="6"/>
        <v>0.6679619423501959</v>
      </c>
      <c r="AC10" s="28">
        <f t="shared" si="6"/>
        <v>0.6784604683428247</v>
      </c>
      <c r="AD10" s="28">
        <f t="shared" si="6"/>
        <v>0.6904905445398996</v>
      </c>
      <c r="AE10" s="28">
        <f t="shared" si="6"/>
        <v>0.7016649285982193</v>
      </c>
    </row>
    <row r="11" spans="3:31" s="1" customFormat="1" ht="12.75">
      <c r="C11" s="16" t="s">
        <v>100</v>
      </c>
      <c r="D11" s="20" t="str">
        <f t="shared" si="0"/>
        <v>Rs. Crores</v>
      </c>
      <c r="E11" s="28">
        <f aca="true" t="shared" si="7" ref="E11:Q11">E8-E10</f>
        <v>0</v>
      </c>
      <c r="F11" s="28">
        <f t="shared" si="7"/>
        <v>0</v>
      </c>
      <c r="G11" s="28">
        <f t="shared" si="7"/>
        <v>3.854855627063234</v>
      </c>
      <c r="H11" s="28">
        <f t="shared" si="7"/>
        <v>4.09830844609388</v>
      </c>
      <c r="I11" s="28">
        <f t="shared" si="7"/>
        <v>4.340154738244511</v>
      </c>
      <c r="J11" s="28">
        <f t="shared" si="7"/>
        <v>4.584948878072027</v>
      </c>
      <c r="K11" s="28">
        <f t="shared" si="7"/>
        <v>4.576180891929841</v>
      </c>
      <c r="L11" s="28">
        <f t="shared" si="7"/>
        <v>4.566900696204171</v>
      </c>
      <c r="M11" s="28">
        <f t="shared" si="7"/>
        <v>4.565581954890033</v>
      </c>
      <c r="N11" s="28">
        <f t="shared" si="7"/>
        <v>4.555447452629854</v>
      </c>
      <c r="O11" s="28">
        <f t="shared" si="7"/>
        <v>4.544978162151507</v>
      </c>
      <c r="P11" s="28">
        <f t="shared" si="7"/>
        <v>4.560151708317143</v>
      </c>
      <c r="Q11" s="28">
        <f t="shared" si="7"/>
        <v>4.565163539344534</v>
      </c>
      <c r="R11" s="28">
        <f aca="true" t="shared" si="8" ref="R11:X11">R8-R10</f>
        <v>4.570325725302747</v>
      </c>
      <c r="S11" s="28">
        <f t="shared" si="8"/>
        <v>4.585793999044341</v>
      </c>
      <c r="T11" s="28">
        <f t="shared" si="8"/>
        <v>4.592321938712889</v>
      </c>
      <c r="U11" s="28">
        <f t="shared" si="8"/>
        <v>4.598298876652152</v>
      </c>
      <c r="V11" s="28">
        <f t="shared" si="8"/>
        <v>4.610793702493025</v>
      </c>
      <c r="W11" s="28">
        <f t="shared" si="8"/>
        <v>4.617324793345692</v>
      </c>
      <c r="X11" s="28">
        <f t="shared" si="8"/>
        <v>4.62405181692394</v>
      </c>
      <c r="Y11" s="28">
        <f aca="true" t="shared" si="9" ref="Y11:AE11">Y8-Y10</f>
        <v>4.650374395507168</v>
      </c>
      <c r="Z11" s="28">
        <f t="shared" si="9"/>
        <v>4.65809290715026</v>
      </c>
      <c r="AA11" s="28">
        <f t="shared" si="9"/>
        <v>4.666042974142644</v>
      </c>
      <c r="AB11" s="28">
        <f t="shared" si="9"/>
        <v>4.6818001388680575</v>
      </c>
      <c r="AC11" s="28">
        <f t="shared" si="9"/>
        <v>4.690461422811976</v>
      </c>
      <c r="AD11" s="28">
        <f t="shared" si="9"/>
        <v>4.7003862356745625</v>
      </c>
      <c r="AE11" s="28">
        <f t="shared" si="9"/>
        <v>4.709605102522676</v>
      </c>
    </row>
    <row r="12" spans="2:31" ht="12.75">
      <c r="B12" s="3">
        <f>Input!E117</f>
        <v>0.25</v>
      </c>
      <c r="C12" s="11" t="s">
        <v>101</v>
      </c>
      <c r="D12" s="5" t="str">
        <f t="shared" si="0"/>
        <v>Rs. Crores</v>
      </c>
      <c r="E12" s="14">
        <f>E11*$B$12</f>
        <v>0</v>
      </c>
      <c r="F12" s="14">
        <f aca="true" t="shared" si="10" ref="F12:O12">F11*$B$12</f>
        <v>0</v>
      </c>
      <c r="G12" s="14">
        <f t="shared" si="10"/>
        <v>0.9637139067658085</v>
      </c>
      <c r="H12" s="14">
        <f t="shared" si="10"/>
        <v>1.02457711152347</v>
      </c>
      <c r="I12" s="14">
        <f t="shared" si="10"/>
        <v>1.0850386845611277</v>
      </c>
      <c r="J12" s="14">
        <f t="shared" si="10"/>
        <v>1.1462372195180068</v>
      </c>
      <c r="K12" s="14">
        <f t="shared" si="10"/>
        <v>1.1440452229824603</v>
      </c>
      <c r="L12" s="14">
        <f t="shared" si="10"/>
        <v>1.1417251740510428</v>
      </c>
      <c r="M12" s="14">
        <f t="shared" si="10"/>
        <v>1.1413954887225082</v>
      </c>
      <c r="N12" s="14">
        <f t="shared" si="10"/>
        <v>1.1388618631574634</v>
      </c>
      <c r="O12" s="14">
        <f t="shared" si="10"/>
        <v>1.1362445405378767</v>
      </c>
      <c r="P12" s="14">
        <f>P11*$B$12</f>
        <v>1.1400379270792858</v>
      </c>
      <c r="Q12" s="14">
        <f>Q11*$B$12</f>
        <v>1.1412908848361334</v>
      </c>
      <c r="R12" s="14">
        <f aca="true" t="shared" si="11" ref="R12:X12">R11*$B$12</f>
        <v>1.1425814313256868</v>
      </c>
      <c r="S12" s="14">
        <f t="shared" si="11"/>
        <v>1.1464484997610853</v>
      </c>
      <c r="T12" s="14">
        <f t="shared" si="11"/>
        <v>1.1480804846782222</v>
      </c>
      <c r="U12" s="14">
        <f t="shared" si="11"/>
        <v>1.149574719163038</v>
      </c>
      <c r="V12" s="14">
        <f t="shared" si="11"/>
        <v>1.1526984256232562</v>
      </c>
      <c r="W12" s="14">
        <f t="shared" si="11"/>
        <v>1.154331198336423</v>
      </c>
      <c r="X12" s="14">
        <f t="shared" si="11"/>
        <v>1.156012954230985</v>
      </c>
      <c r="Y12" s="14">
        <f aca="true" t="shared" si="12" ref="Y12:AE12">Y11*$B$12</f>
        <v>1.162593598876792</v>
      </c>
      <c r="Z12" s="14">
        <f t="shared" si="12"/>
        <v>1.164523226787565</v>
      </c>
      <c r="AA12" s="14">
        <f t="shared" si="12"/>
        <v>1.166510743535661</v>
      </c>
      <c r="AB12" s="14">
        <f t="shared" si="12"/>
        <v>1.1704500347170144</v>
      </c>
      <c r="AC12" s="14">
        <f t="shared" si="12"/>
        <v>1.172615355702994</v>
      </c>
      <c r="AD12" s="14">
        <f t="shared" si="12"/>
        <v>1.1750965589186406</v>
      </c>
      <c r="AE12" s="14">
        <f t="shared" si="12"/>
        <v>1.177401275630669</v>
      </c>
    </row>
    <row r="13" spans="3:31" s="1" customFormat="1" ht="12.75">
      <c r="C13" s="16" t="s">
        <v>102</v>
      </c>
      <c r="D13" s="20" t="str">
        <f t="shared" si="0"/>
        <v>Rs. Crores</v>
      </c>
      <c r="E13" s="28">
        <f>E11-E12</f>
        <v>0</v>
      </c>
      <c r="F13" s="28">
        <f aca="true" t="shared" si="13" ref="F13:Q13">F11-F12</f>
        <v>0</v>
      </c>
      <c r="G13" s="28">
        <f t="shared" si="13"/>
        <v>2.8911417202974254</v>
      </c>
      <c r="H13" s="28">
        <f t="shared" si="13"/>
        <v>3.07373133457041</v>
      </c>
      <c r="I13" s="28">
        <f t="shared" si="13"/>
        <v>3.255116053683383</v>
      </c>
      <c r="J13" s="28">
        <f t="shared" si="13"/>
        <v>3.4387116585540207</v>
      </c>
      <c r="K13" s="28">
        <f t="shared" si="13"/>
        <v>3.4321356689473808</v>
      </c>
      <c r="L13" s="28">
        <f t="shared" si="13"/>
        <v>3.425175522153128</v>
      </c>
      <c r="M13" s="28">
        <f t="shared" si="13"/>
        <v>3.4241864661675248</v>
      </c>
      <c r="N13" s="28">
        <f t="shared" si="13"/>
        <v>3.4165855894723904</v>
      </c>
      <c r="O13" s="28">
        <f t="shared" si="13"/>
        <v>3.40873362161363</v>
      </c>
      <c r="P13" s="28">
        <f t="shared" si="13"/>
        <v>3.4201137812378573</v>
      </c>
      <c r="Q13" s="28">
        <f t="shared" si="13"/>
        <v>3.4238726545084</v>
      </c>
      <c r="R13" s="28">
        <f aca="true" t="shared" si="14" ref="R13:X13">R11-R12</f>
        <v>3.42774429397706</v>
      </c>
      <c r="S13" s="28">
        <f t="shared" si="14"/>
        <v>3.439345499283256</v>
      </c>
      <c r="T13" s="28">
        <f t="shared" si="14"/>
        <v>3.4442414540346666</v>
      </c>
      <c r="U13" s="28">
        <f t="shared" si="14"/>
        <v>3.4487241574891145</v>
      </c>
      <c r="V13" s="28">
        <f t="shared" si="14"/>
        <v>3.4580952768697686</v>
      </c>
      <c r="W13" s="28">
        <f t="shared" si="14"/>
        <v>3.4629935950092694</v>
      </c>
      <c r="X13" s="28">
        <f t="shared" si="14"/>
        <v>3.468038862692955</v>
      </c>
      <c r="Y13" s="28">
        <f aca="true" t="shared" si="15" ref="Y13:AE13">Y11-Y12</f>
        <v>3.4877807966303758</v>
      </c>
      <c r="Z13" s="28">
        <f t="shared" si="15"/>
        <v>3.493569680362695</v>
      </c>
      <c r="AA13" s="28">
        <f t="shared" si="15"/>
        <v>3.4995322306069827</v>
      </c>
      <c r="AB13" s="28">
        <f t="shared" si="15"/>
        <v>3.511350104151043</v>
      </c>
      <c r="AC13" s="28">
        <f t="shared" si="15"/>
        <v>3.517846067108982</v>
      </c>
      <c r="AD13" s="28">
        <f t="shared" si="15"/>
        <v>3.525289676755922</v>
      </c>
      <c r="AE13" s="28">
        <f t="shared" si="15"/>
        <v>3.5322038268920073</v>
      </c>
    </row>
    <row r="14" spans="3:31" ht="12.75">
      <c r="C14" s="5" t="s">
        <v>67</v>
      </c>
      <c r="D14" s="5" t="s">
        <v>10</v>
      </c>
      <c r="E14" s="12">
        <f>Input!E100</f>
        <v>0.105</v>
      </c>
      <c r="F14" s="12">
        <f aca="true" t="shared" si="16" ref="F14:Q14">E14</f>
        <v>0.105</v>
      </c>
      <c r="G14" s="12">
        <f t="shared" si="16"/>
        <v>0.105</v>
      </c>
      <c r="H14" s="12">
        <f t="shared" si="16"/>
        <v>0.105</v>
      </c>
      <c r="I14" s="12">
        <f t="shared" si="16"/>
        <v>0.105</v>
      </c>
      <c r="J14" s="12">
        <f t="shared" si="16"/>
        <v>0.105</v>
      </c>
      <c r="K14" s="12">
        <f t="shared" si="16"/>
        <v>0.105</v>
      </c>
      <c r="L14" s="12">
        <f t="shared" si="16"/>
        <v>0.105</v>
      </c>
      <c r="M14" s="12">
        <f t="shared" si="16"/>
        <v>0.105</v>
      </c>
      <c r="N14" s="12">
        <f t="shared" si="16"/>
        <v>0.105</v>
      </c>
      <c r="O14" s="12">
        <f t="shared" si="16"/>
        <v>0.105</v>
      </c>
      <c r="P14" s="12">
        <f t="shared" si="16"/>
        <v>0.105</v>
      </c>
      <c r="Q14" s="12">
        <f t="shared" si="16"/>
        <v>0.105</v>
      </c>
      <c r="R14" s="12">
        <f aca="true" t="shared" si="17" ref="R14:X14">Q14</f>
        <v>0.105</v>
      </c>
      <c r="S14" s="12">
        <f t="shared" si="17"/>
        <v>0.105</v>
      </c>
      <c r="T14" s="12">
        <f t="shared" si="17"/>
        <v>0.105</v>
      </c>
      <c r="U14" s="12">
        <f t="shared" si="17"/>
        <v>0.105</v>
      </c>
      <c r="V14" s="12">
        <f t="shared" si="17"/>
        <v>0.105</v>
      </c>
      <c r="W14" s="12">
        <f t="shared" si="17"/>
        <v>0.105</v>
      </c>
      <c r="X14" s="12">
        <f t="shared" si="17"/>
        <v>0.105</v>
      </c>
      <c r="Y14" s="12">
        <f aca="true" t="shared" si="18" ref="Y14:AE14">X14</f>
        <v>0.105</v>
      </c>
      <c r="Z14" s="12">
        <f t="shared" si="18"/>
        <v>0.105</v>
      </c>
      <c r="AA14" s="12">
        <f t="shared" si="18"/>
        <v>0.105</v>
      </c>
      <c r="AB14" s="12">
        <f t="shared" si="18"/>
        <v>0.105</v>
      </c>
      <c r="AC14" s="12">
        <f t="shared" si="18"/>
        <v>0.105</v>
      </c>
      <c r="AD14" s="12">
        <f t="shared" si="18"/>
        <v>0.105</v>
      </c>
      <c r="AE14" s="12">
        <f t="shared" si="18"/>
        <v>0.105</v>
      </c>
    </row>
    <row r="15" spans="3:31" ht="12.75">
      <c r="C15" s="5" t="s">
        <v>102</v>
      </c>
      <c r="D15" s="5" t="s">
        <v>232</v>
      </c>
      <c r="E15" s="14">
        <f>WC!E13</f>
        <v>0</v>
      </c>
      <c r="F15" s="14">
        <f>WC!F13</f>
        <v>0</v>
      </c>
      <c r="G15" s="14">
        <f>WC!G13</f>
        <v>2.8911417202974254</v>
      </c>
      <c r="H15" s="14">
        <f>WC!H13</f>
        <v>3.07373133457041</v>
      </c>
      <c r="I15" s="14">
        <f>WC!I13</f>
        <v>3.255116053683383</v>
      </c>
      <c r="J15" s="14">
        <f>WC!J13</f>
        <v>3.4387116585540207</v>
      </c>
      <c r="K15" s="14">
        <f>WC!K13</f>
        <v>3.4321356689473808</v>
      </c>
      <c r="L15" s="14">
        <f>WC!L13</f>
        <v>3.425175522153128</v>
      </c>
      <c r="M15" s="14">
        <f>WC!M13</f>
        <v>3.4241864661675248</v>
      </c>
      <c r="N15" s="14">
        <f>WC!N13</f>
        <v>3.4165855894723904</v>
      </c>
      <c r="O15" s="14">
        <f>WC!O13</f>
        <v>3.40873362161363</v>
      </c>
      <c r="P15" s="14">
        <f>WC!P13</f>
        <v>3.4201137812378573</v>
      </c>
      <c r="Q15" s="14">
        <f>WC!Q13</f>
        <v>3.4238726545084</v>
      </c>
      <c r="R15" s="14">
        <f>WC!R13</f>
        <v>3.42774429397706</v>
      </c>
      <c r="S15" s="14">
        <f>WC!S13</f>
        <v>3.439345499283256</v>
      </c>
      <c r="T15" s="14">
        <f>WC!T13</f>
        <v>3.4442414540346666</v>
      </c>
      <c r="U15" s="14">
        <f>WC!U13</f>
        <v>3.4487241574891145</v>
      </c>
      <c r="V15" s="14">
        <f>WC!V13</f>
        <v>3.4580952768697686</v>
      </c>
      <c r="W15" s="14">
        <f>WC!W13</f>
        <v>3.4629935950092694</v>
      </c>
      <c r="X15" s="14">
        <f>WC!X13</f>
        <v>3.468038862692955</v>
      </c>
      <c r="Y15" s="14">
        <f>WC!Y13</f>
        <v>3.4877807966303758</v>
      </c>
      <c r="Z15" s="14">
        <f>WC!Z13</f>
        <v>3.493569680362695</v>
      </c>
      <c r="AA15" s="14">
        <f>WC!AA13</f>
        <v>3.4995322306069827</v>
      </c>
      <c r="AB15" s="14">
        <f>WC!AB13</f>
        <v>3.511350104151043</v>
      </c>
      <c r="AC15" s="14">
        <f>WC!AC13</f>
        <v>3.517846067108982</v>
      </c>
      <c r="AD15" s="14">
        <f>WC!AD13</f>
        <v>3.525289676755922</v>
      </c>
      <c r="AE15" s="14">
        <f>WC!AE13</f>
        <v>3.5322038268920073</v>
      </c>
    </row>
    <row r="16" spans="3:31" ht="12.75">
      <c r="C16" s="5" t="s">
        <v>73</v>
      </c>
      <c r="D16" s="5" t="s">
        <v>232</v>
      </c>
      <c r="E16" s="32">
        <f>E14*E15*WC!E3/365</f>
        <v>0</v>
      </c>
      <c r="F16" s="32">
        <f>F14*F15*WC!F3/365</f>
        <v>0</v>
      </c>
      <c r="G16" s="32">
        <f>G14*G15*WC!G3/365</f>
        <v>0.30356988063122964</v>
      </c>
      <c r="H16" s="32">
        <f>H14*H15*WC!H3/365</f>
        <v>0.32274179012989307</v>
      </c>
      <c r="I16" s="32">
        <f>I14*I15*WC!I3/365</f>
        <v>0.3417871856367552</v>
      </c>
      <c r="J16" s="32">
        <f>J14*J15*WC!J3/365</f>
        <v>0.36106472414817214</v>
      </c>
      <c r="K16" s="32">
        <f>K14*K15*WC!K3/365</f>
        <v>0.360374245239475</v>
      </c>
      <c r="L16" s="32">
        <f>L14*L15*WC!L3/365</f>
        <v>0.35964342982607844</v>
      </c>
      <c r="M16" s="32">
        <f>M14*M15*WC!M3/365</f>
        <v>0.3595395789475901</v>
      </c>
      <c r="N16" s="32">
        <f>N14*N15*WC!N3/365</f>
        <v>0.358741486894601</v>
      </c>
      <c r="O16" s="32">
        <f>O14*O15*WC!O3/365</f>
        <v>0.3579170302694311</v>
      </c>
      <c r="P16" s="32">
        <f>P14*P15*WC!P3/365</f>
        <v>0.35911194702997495</v>
      </c>
      <c r="Q16" s="32">
        <f>Q14*Q15*WC!Q3/365</f>
        <v>0.35950662872338207</v>
      </c>
      <c r="R16" s="32">
        <f>R14*R15*WC!R3/365</f>
        <v>0.3599131508675913</v>
      </c>
      <c r="S16" s="32">
        <f>S14*S15*WC!S3/365</f>
        <v>0.3611312774247419</v>
      </c>
      <c r="T16" s="32">
        <f>T14*T15*WC!T3/365</f>
        <v>0.36164535267364</v>
      </c>
      <c r="U16" s="32">
        <f>U14*U15*WC!U3/365</f>
        <v>0.362116036536357</v>
      </c>
      <c r="V16" s="32">
        <f>V14*V15*WC!V3/365</f>
        <v>0.3631000040713257</v>
      </c>
      <c r="W16" s="32">
        <f>W14*W15*WC!W3/365</f>
        <v>0.3636143274759733</v>
      </c>
      <c r="X16" s="32">
        <f>X14*X15*WC!X3/365</f>
        <v>0.36414408058276027</v>
      </c>
      <c r="Y16" s="32">
        <f>Y14*Y15*WC!Y3/365</f>
        <v>0.36621698364618943</v>
      </c>
      <c r="Z16" s="32">
        <f>Z14*Z15*WC!Z3/365</f>
        <v>0.36682481643808296</v>
      </c>
      <c r="AA16" s="32">
        <f>AA14*AA15*WC!AA3/365</f>
        <v>0.3674508842137332</v>
      </c>
      <c r="AB16" s="32">
        <f>AB14*AB15*WC!AB3/365</f>
        <v>0.3686917609358595</v>
      </c>
      <c r="AC16" s="32">
        <f>AC14*AC15*WC!AC3/365</f>
        <v>0.3693738370464431</v>
      </c>
      <c r="AD16" s="32">
        <f>AD14*AD15*WC!AD3/365</f>
        <v>0.37015541605937174</v>
      </c>
      <c r="AE16" s="32">
        <f>AE14*AE15*WC!AE3/365</f>
        <v>0.37088140182366075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AE4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Q1" sqref="Q1"/>
    </sheetView>
  </sheetViews>
  <sheetFormatPr defaultColWidth="9.140625" defaultRowHeight="12.75"/>
  <cols>
    <col min="3" max="3" width="37.57421875" style="0" customWidth="1"/>
    <col min="4" max="4" width="9.8515625" style="0" bestFit="1" customWidth="1"/>
    <col min="5" max="7" width="9.57421875" style="0" customWidth="1"/>
    <col min="8" max="15" width="9.57421875" style="0" bestFit="1" customWidth="1"/>
    <col min="16" max="31" width="9.57421875" style="0" customWidth="1"/>
  </cols>
  <sheetData>
    <row r="1" spans="3:7" ht="12.75">
      <c r="C1" s="15"/>
      <c r="D1" s="15"/>
      <c r="E1" s="15"/>
      <c r="F1" s="15"/>
      <c r="G1" s="15"/>
    </row>
    <row r="2" ht="12.75">
      <c r="C2" s="1" t="s">
        <v>66</v>
      </c>
    </row>
    <row r="4" spans="3:31" ht="12.75">
      <c r="C4" s="59" t="s">
        <v>1</v>
      </c>
      <c r="D4" s="59" t="s">
        <v>2</v>
      </c>
      <c r="E4" s="60">
        <f>WC!E4</f>
        <v>44651</v>
      </c>
      <c r="F4" s="60">
        <f>WC!F4</f>
        <v>45016</v>
      </c>
      <c r="G4" s="60">
        <f>WC!G4</f>
        <v>45382</v>
      </c>
      <c r="H4" s="60">
        <f>WC!H4</f>
        <v>45747</v>
      </c>
      <c r="I4" s="60">
        <f>WC!I4</f>
        <v>46112</v>
      </c>
      <c r="J4" s="60">
        <f>WC!J4</f>
        <v>46477</v>
      </c>
      <c r="K4" s="60">
        <f>WC!K4</f>
        <v>46843</v>
      </c>
      <c r="L4" s="60">
        <f>WC!L4</f>
        <v>47208</v>
      </c>
      <c r="M4" s="60">
        <f>WC!M4</f>
        <v>47573</v>
      </c>
      <c r="N4" s="60">
        <f>WC!N4</f>
        <v>47938</v>
      </c>
      <c r="O4" s="60">
        <f>WC!O4</f>
        <v>48304</v>
      </c>
      <c r="P4" s="60">
        <f>WC!P4</f>
        <v>48669</v>
      </c>
      <c r="Q4" s="60">
        <f>WC!Q4</f>
        <v>49034</v>
      </c>
      <c r="R4" s="60">
        <f>WC!R4</f>
        <v>49399</v>
      </c>
      <c r="S4" s="60">
        <f>WC!S4</f>
        <v>49765</v>
      </c>
      <c r="T4" s="60">
        <f>WC!T4</f>
        <v>50130</v>
      </c>
      <c r="U4" s="60">
        <f>WC!U4</f>
        <v>50495</v>
      </c>
      <c r="V4" s="60">
        <f>WC!V4</f>
        <v>50860</v>
      </c>
      <c r="W4" s="60">
        <f>WC!W4</f>
        <v>51226</v>
      </c>
      <c r="X4" s="60">
        <f>WC!X4</f>
        <v>51591</v>
      </c>
      <c r="Y4" s="60">
        <f>WC!Y4</f>
        <v>51956</v>
      </c>
      <c r="Z4" s="60">
        <f>WC!Z4</f>
        <v>52321</v>
      </c>
      <c r="AA4" s="60">
        <f>WC!AA4</f>
        <v>52687</v>
      </c>
      <c r="AB4" s="60">
        <f>WC!AB4</f>
        <v>53052</v>
      </c>
      <c r="AC4" s="60">
        <f>WC!AC4</f>
        <v>53417</v>
      </c>
      <c r="AD4" s="60">
        <f>WC!AD4</f>
        <v>53782</v>
      </c>
      <c r="AE4" s="60">
        <f>WC!AE4</f>
        <v>54148</v>
      </c>
    </row>
    <row r="5" spans="3:31" ht="12.75">
      <c r="C5" s="5" t="s">
        <v>67</v>
      </c>
      <c r="D5" s="5" t="s">
        <v>10</v>
      </c>
      <c r="E5" s="12">
        <f>Input!E99</f>
        <v>0.105</v>
      </c>
      <c r="F5" s="12">
        <f aca="true" t="shared" si="0" ref="F5:Q5">E5</f>
        <v>0.105</v>
      </c>
      <c r="G5" s="12">
        <f t="shared" si="0"/>
        <v>0.105</v>
      </c>
      <c r="H5" s="12">
        <f t="shared" si="0"/>
        <v>0.105</v>
      </c>
      <c r="I5" s="12">
        <f t="shared" si="0"/>
        <v>0.105</v>
      </c>
      <c r="J5" s="12">
        <f t="shared" si="0"/>
        <v>0.105</v>
      </c>
      <c r="K5" s="12">
        <f t="shared" si="0"/>
        <v>0.105</v>
      </c>
      <c r="L5" s="12">
        <f t="shared" si="0"/>
        <v>0.105</v>
      </c>
      <c r="M5" s="12">
        <f t="shared" si="0"/>
        <v>0.105</v>
      </c>
      <c r="N5" s="12">
        <f t="shared" si="0"/>
        <v>0.105</v>
      </c>
      <c r="O5" s="12">
        <f t="shared" si="0"/>
        <v>0.105</v>
      </c>
      <c r="P5" s="41">
        <f t="shared" si="0"/>
        <v>0.105</v>
      </c>
      <c r="Q5" s="41">
        <f t="shared" si="0"/>
        <v>0.105</v>
      </c>
      <c r="R5" s="41">
        <f aca="true" t="shared" si="1" ref="R5:AE5">Q5</f>
        <v>0.105</v>
      </c>
      <c r="S5" s="41">
        <f t="shared" si="1"/>
        <v>0.105</v>
      </c>
      <c r="T5" s="41">
        <f t="shared" si="1"/>
        <v>0.105</v>
      </c>
      <c r="U5" s="41">
        <f t="shared" si="1"/>
        <v>0.105</v>
      </c>
      <c r="V5" s="41">
        <f t="shared" si="1"/>
        <v>0.105</v>
      </c>
      <c r="W5" s="41">
        <f t="shared" si="1"/>
        <v>0.105</v>
      </c>
      <c r="X5" s="41">
        <f t="shared" si="1"/>
        <v>0.105</v>
      </c>
      <c r="Y5" s="41">
        <f t="shared" si="1"/>
        <v>0.105</v>
      </c>
      <c r="Z5" s="41">
        <f t="shared" si="1"/>
        <v>0.105</v>
      </c>
      <c r="AA5" s="41">
        <f t="shared" si="1"/>
        <v>0.105</v>
      </c>
      <c r="AB5" s="41">
        <f t="shared" si="1"/>
        <v>0.105</v>
      </c>
      <c r="AC5" s="41">
        <f t="shared" si="1"/>
        <v>0.105</v>
      </c>
      <c r="AD5" s="41">
        <f t="shared" si="1"/>
        <v>0.105</v>
      </c>
      <c r="AE5" s="41">
        <f t="shared" si="1"/>
        <v>0.105</v>
      </c>
    </row>
    <row r="6" spans="3:31" s="1" customFormat="1" ht="12.75">
      <c r="C6" s="20" t="s">
        <v>68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3:31" ht="12.75">
      <c r="C7" s="5" t="s">
        <v>69</v>
      </c>
      <c r="D7" s="5" t="str">
        <f>WC!D13</f>
        <v>Rs. Crores</v>
      </c>
      <c r="E7" s="14">
        <f aca="true" t="shared" si="2" ref="E7:Q7">E14</f>
        <v>0</v>
      </c>
      <c r="F7" s="14">
        <f t="shared" si="2"/>
        <v>15.703155609827416</v>
      </c>
      <c r="G7" s="14">
        <f t="shared" si="2"/>
        <v>47.68905203348891</v>
      </c>
      <c r="H7" s="14">
        <f t="shared" si="2"/>
        <v>58.50883693956468</v>
      </c>
      <c r="I7" s="14">
        <f t="shared" si="2"/>
        <v>52.50793058678881</v>
      </c>
      <c r="J7" s="14">
        <f t="shared" si="2"/>
        <v>46.50702423401294</v>
      </c>
      <c r="K7" s="14">
        <f t="shared" si="2"/>
        <v>40.50611788123707</v>
      </c>
      <c r="L7" s="14">
        <f t="shared" si="2"/>
        <v>34.505211528461196</v>
      </c>
      <c r="M7" s="14">
        <f t="shared" si="2"/>
        <v>28.504305175685325</v>
      </c>
      <c r="N7" s="14">
        <f t="shared" si="2"/>
        <v>22.503398822909453</v>
      </c>
      <c r="O7" s="14">
        <f t="shared" si="2"/>
        <v>16.502492470133582</v>
      </c>
      <c r="P7" s="32">
        <f t="shared" si="2"/>
        <v>10.501586117357718</v>
      </c>
      <c r="Q7" s="32">
        <f t="shared" si="2"/>
        <v>4.500679764581854</v>
      </c>
      <c r="R7" s="32">
        <f aca="true" t="shared" si="3" ref="R7:AE7">R14</f>
        <v>0</v>
      </c>
      <c r="S7" s="32">
        <f t="shared" si="3"/>
        <v>0</v>
      </c>
      <c r="T7" s="32">
        <f t="shared" si="3"/>
        <v>0</v>
      </c>
      <c r="U7" s="32">
        <f t="shared" si="3"/>
        <v>0</v>
      </c>
      <c r="V7" s="32">
        <f t="shared" si="3"/>
        <v>0</v>
      </c>
      <c r="W7" s="32">
        <f t="shared" si="3"/>
        <v>0</v>
      </c>
      <c r="X7" s="32">
        <f t="shared" si="3"/>
        <v>0</v>
      </c>
      <c r="Y7" s="32">
        <f t="shared" si="3"/>
        <v>0</v>
      </c>
      <c r="Z7" s="32">
        <f t="shared" si="3"/>
        <v>0</v>
      </c>
      <c r="AA7" s="32">
        <f t="shared" si="3"/>
        <v>0</v>
      </c>
      <c r="AB7" s="32">
        <f t="shared" si="3"/>
        <v>0</v>
      </c>
      <c r="AC7" s="32">
        <f t="shared" si="3"/>
        <v>0</v>
      </c>
      <c r="AD7" s="32">
        <f t="shared" si="3"/>
        <v>0</v>
      </c>
      <c r="AE7" s="32">
        <f t="shared" si="3"/>
        <v>0</v>
      </c>
    </row>
    <row r="8" spans="3:31" ht="12.75">
      <c r="C8" s="5" t="s">
        <v>71</v>
      </c>
      <c r="D8" s="5" t="str">
        <f>D7</f>
        <v>Rs. Crores</v>
      </c>
      <c r="E8" s="14">
        <f aca="true" t="shared" si="4" ref="E8:Q8">E15+E22+E29+E36</f>
        <v>15.703155609827416</v>
      </c>
      <c r="F8" s="14">
        <f t="shared" si="4"/>
        <v>31.985896423661497</v>
      </c>
      <c r="G8" s="14">
        <f t="shared" si="4"/>
        <v>10.81978490607577</v>
      </c>
      <c r="H8" s="14">
        <f t="shared" si="4"/>
        <v>0</v>
      </c>
      <c r="I8" s="14">
        <f t="shared" si="4"/>
        <v>0</v>
      </c>
      <c r="J8" s="14">
        <f t="shared" si="4"/>
        <v>0</v>
      </c>
      <c r="K8" s="14">
        <f t="shared" si="4"/>
        <v>0</v>
      </c>
      <c r="L8" s="14">
        <f t="shared" si="4"/>
        <v>0</v>
      </c>
      <c r="M8" s="14">
        <f t="shared" si="4"/>
        <v>0</v>
      </c>
      <c r="N8" s="14">
        <f t="shared" si="4"/>
        <v>0</v>
      </c>
      <c r="O8" s="14">
        <f t="shared" si="4"/>
        <v>0</v>
      </c>
      <c r="P8" s="32">
        <f t="shared" si="4"/>
        <v>0</v>
      </c>
      <c r="Q8" s="32">
        <f t="shared" si="4"/>
        <v>0</v>
      </c>
      <c r="R8" s="32">
        <f aca="true" t="shared" si="5" ref="R8:AE8">R15+R22+R29+R36</f>
        <v>0</v>
      </c>
      <c r="S8" s="32">
        <f t="shared" si="5"/>
        <v>0</v>
      </c>
      <c r="T8" s="32">
        <f t="shared" si="5"/>
        <v>0</v>
      </c>
      <c r="U8" s="32">
        <f t="shared" si="5"/>
        <v>0</v>
      </c>
      <c r="V8" s="32">
        <f t="shared" si="5"/>
        <v>0</v>
      </c>
      <c r="W8" s="32">
        <f t="shared" si="5"/>
        <v>0</v>
      </c>
      <c r="X8" s="32">
        <f t="shared" si="5"/>
        <v>0</v>
      </c>
      <c r="Y8" s="32">
        <f t="shared" si="5"/>
        <v>0</v>
      </c>
      <c r="Z8" s="32">
        <f t="shared" si="5"/>
        <v>0</v>
      </c>
      <c r="AA8" s="32">
        <f t="shared" si="5"/>
        <v>0</v>
      </c>
      <c r="AB8" s="32">
        <f t="shared" si="5"/>
        <v>0</v>
      </c>
      <c r="AC8" s="32">
        <f t="shared" si="5"/>
        <v>0</v>
      </c>
      <c r="AD8" s="32">
        <f t="shared" si="5"/>
        <v>0</v>
      </c>
      <c r="AE8" s="32">
        <f t="shared" si="5"/>
        <v>0</v>
      </c>
    </row>
    <row r="9" spans="3:31" ht="12.75">
      <c r="C9" s="5" t="s">
        <v>70</v>
      </c>
      <c r="D9" s="5" t="str">
        <f>D8</f>
        <v>Rs. Crores</v>
      </c>
      <c r="E9" s="14">
        <f aca="true" t="shared" si="6" ref="E9:Q9">E16+E23+E30+E37</f>
        <v>0</v>
      </c>
      <c r="F9" s="14">
        <f t="shared" si="6"/>
        <v>0</v>
      </c>
      <c r="G9" s="14">
        <f t="shared" si="6"/>
        <v>0</v>
      </c>
      <c r="H9" s="14">
        <f t="shared" si="6"/>
        <v>6.000906352775865</v>
      </c>
      <c r="I9" s="14">
        <f t="shared" si="6"/>
        <v>6.000906352775865</v>
      </c>
      <c r="J9" s="14">
        <f t="shared" si="6"/>
        <v>6.000906352775865</v>
      </c>
      <c r="K9" s="14">
        <f t="shared" si="6"/>
        <v>6.000906352775865</v>
      </c>
      <c r="L9" s="14">
        <f t="shared" si="6"/>
        <v>6.000906352775865</v>
      </c>
      <c r="M9" s="14">
        <f t="shared" si="6"/>
        <v>6.000906352775865</v>
      </c>
      <c r="N9" s="14">
        <f t="shared" si="6"/>
        <v>6.000906352775865</v>
      </c>
      <c r="O9" s="14">
        <f t="shared" si="6"/>
        <v>6.000906352775865</v>
      </c>
      <c r="P9" s="32">
        <f t="shared" si="6"/>
        <v>6.000906352775865</v>
      </c>
      <c r="Q9" s="32">
        <f t="shared" si="6"/>
        <v>4.500679764581854</v>
      </c>
      <c r="R9" s="32">
        <f aca="true" t="shared" si="7" ref="R9:AE9">R16+R23+R30+R37</f>
        <v>0</v>
      </c>
      <c r="S9" s="32">
        <f t="shared" si="7"/>
        <v>0</v>
      </c>
      <c r="T9" s="32">
        <f t="shared" si="7"/>
        <v>0</v>
      </c>
      <c r="U9" s="32">
        <f t="shared" si="7"/>
        <v>0</v>
      </c>
      <c r="V9" s="32">
        <f t="shared" si="7"/>
        <v>0</v>
      </c>
      <c r="W9" s="32">
        <f t="shared" si="7"/>
        <v>0</v>
      </c>
      <c r="X9" s="32">
        <f t="shared" si="7"/>
        <v>0</v>
      </c>
      <c r="Y9" s="32">
        <f t="shared" si="7"/>
        <v>0</v>
      </c>
      <c r="Z9" s="32">
        <f t="shared" si="7"/>
        <v>0</v>
      </c>
      <c r="AA9" s="32">
        <f t="shared" si="7"/>
        <v>0</v>
      </c>
      <c r="AB9" s="32">
        <f t="shared" si="7"/>
        <v>0</v>
      </c>
      <c r="AC9" s="32">
        <f t="shared" si="7"/>
        <v>0</v>
      </c>
      <c r="AD9" s="32">
        <f t="shared" si="7"/>
        <v>0</v>
      </c>
      <c r="AE9" s="32">
        <f t="shared" si="7"/>
        <v>0</v>
      </c>
    </row>
    <row r="10" spans="3:31" ht="12.75">
      <c r="C10" s="5" t="s">
        <v>72</v>
      </c>
      <c r="D10" s="5" t="str">
        <f>D9</f>
        <v>Rs. Crores</v>
      </c>
      <c r="E10" s="32">
        <f aca="true" t="shared" si="8" ref="E10:Q10">E38</f>
        <v>15.703155609827416</v>
      </c>
      <c r="F10" s="32">
        <f t="shared" si="8"/>
        <v>47.68905203348891</v>
      </c>
      <c r="G10" s="32">
        <f t="shared" si="8"/>
        <v>58.50883693956468</v>
      </c>
      <c r="H10" s="32">
        <f t="shared" si="8"/>
        <v>52.50793058678881</v>
      </c>
      <c r="I10" s="32">
        <f t="shared" si="8"/>
        <v>46.50702423401294</v>
      </c>
      <c r="J10" s="14">
        <f t="shared" si="8"/>
        <v>40.50611788123707</v>
      </c>
      <c r="K10" s="14">
        <f t="shared" si="8"/>
        <v>34.505211528461196</v>
      </c>
      <c r="L10" s="14">
        <f t="shared" si="8"/>
        <v>28.504305175685325</v>
      </c>
      <c r="M10" s="14">
        <f t="shared" si="8"/>
        <v>22.503398822909453</v>
      </c>
      <c r="N10" s="14">
        <f t="shared" si="8"/>
        <v>16.502492470133582</v>
      </c>
      <c r="O10" s="14">
        <f t="shared" si="8"/>
        <v>10.501586117357718</v>
      </c>
      <c r="P10" s="32">
        <f t="shared" si="8"/>
        <v>4.500679764581854</v>
      </c>
      <c r="Q10" s="32">
        <f t="shared" si="8"/>
        <v>0</v>
      </c>
      <c r="R10" s="32">
        <f aca="true" t="shared" si="9" ref="R10:AE10">R38</f>
        <v>0</v>
      </c>
      <c r="S10" s="32">
        <f t="shared" si="9"/>
        <v>0</v>
      </c>
      <c r="T10" s="32">
        <f t="shared" si="9"/>
        <v>0</v>
      </c>
      <c r="U10" s="32">
        <f t="shared" si="9"/>
        <v>0</v>
      </c>
      <c r="V10" s="32">
        <f t="shared" si="9"/>
        <v>0</v>
      </c>
      <c r="W10" s="32">
        <f t="shared" si="9"/>
        <v>0</v>
      </c>
      <c r="X10" s="32">
        <f t="shared" si="9"/>
        <v>0</v>
      </c>
      <c r="Y10" s="32">
        <f t="shared" si="9"/>
        <v>0</v>
      </c>
      <c r="Z10" s="32">
        <f t="shared" si="9"/>
        <v>0</v>
      </c>
      <c r="AA10" s="32">
        <f t="shared" si="9"/>
        <v>0</v>
      </c>
      <c r="AB10" s="32">
        <f t="shared" si="9"/>
        <v>0</v>
      </c>
      <c r="AC10" s="32">
        <f t="shared" si="9"/>
        <v>0</v>
      </c>
      <c r="AD10" s="32">
        <f t="shared" si="9"/>
        <v>0</v>
      </c>
      <c r="AE10" s="32">
        <f t="shared" si="9"/>
        <v>0</v>
      </c>
    </row>
    <row r="11" spans="3:31" ht="12.75">
      <c r="C11" s="5" t="s">
        <v>73</v>
      </c>
      <c r="D11" s="5" t="str">
        <f>D10</f>
        <v>Rs. Crores</v>
      </c>
      <c r="E11" s="32"/>
      <c r="F11" s="32"/>
      <c r="G11" s="32">
        <f>G32+G39</f>
        <v>3.0717139393271458</v>
      </c>
      <c r="H11" s="32">
        <f aca="true" t="shared" si="10" ref="H11:Q11">H18+H25+H32+H39</f>
        <v>5.828380295133558</v>
      </c>
      <c r="I11" s="32">
        <f t="shared" si="10"/>
        <v>5.198285128092092</v>
      </c>
      <c r="J11" s="14">
        <f t="shared" si="10"/>
        <v>4.568189961050624</v>
      </c>
      <c r="K11" s="14">
        <f t="shared" si="10"/>
        <v>3.938094794009159</v>
      </c>
      <c r="L11" s="14">
        <f t="shared" si="10"/>
        <v>3.3079996269676917</v>
      </c>
      <c r="M11" s="14">
        <f t="shared" si="10"/>
        <v>2.677904459926226</v>
      </c>
      <c r="N11" s="14">
        <f t="shared" si="10"/>
        <v>2.047809292884759</v>
      </c>
      <c r="O11" s="14">
        <f t="shared" si="10"/>
        <v>1.4177141258432933</v>
      </c>
      <c r="P11" s="32">
        <f t="shared" si="10"/>
        <v>0.7876189588018275</v>
      </c>
      <c r="Q11" s="32">
        <f t="shared" si="10"/>
        <v>0.17721426573040933</v>
      </c>
      <c r="R11" s="32">
        <f aca="true" t="shared" si="11" ref="R11:AE11">R18+R25+R32+R39</f>
        <v>0</v>
      </c>
      <c r="S11" s="32">
        <f t="shared" si="11"/>
        <v>0</v>
      </c>
      <c r="T11" s="32">
        <f t="shared" si="11"/>
        <v>0</v>
      </c>
      <c r="U11" s="32">
        <f t="shared" si="11"/>
        <v>0</v>
      </c>
      <c r="V11" s="32">
        <f t="shared" si="11"/>
        <v>0</v>
      </c>
      <c r="W11" s="32">
        <f t="shared" si="11"/>
        <v>0</v>
      </c>
      <c r="X11" s="32">
        <f t="shared" si="11"/>
        <v>0</v>
      </c>
      <c r="Y11" s="32">
        <f t="shared" si="11"/>
        <v>0</v>
      </c>
      <c r="Z11" s="32">
        <f t="shared" si="11"/>
        <v>0</v>
      </c>
      <c r="AA11" s="32">
        <f t="shared" si="11"/>
        <v>0</v>
      </c>
      <c r="AB11" s="32">
        <f t="shared" si="11"/>
        <v>0</v>
      </c>
      <c r="AC11" s="32">
        <f t="shared" si="11"/>
        <v>0</v>
      </c>
      <c r="AD11" s="32">
        <f t="shared" si="11"/>
        <v>0</v>
      </c>
      <c r="AE11" s="32">
        <f t="shared" si="11"/>
        <v>0</v>
      </c>
    </row>
    <row r="12" spans="3:31" ht="12.75">
      <c r="C12" s="5"/>
      <c r="D12" s="5"/>
      <c r="E12" s="32"/>
      <c r="F12" s="32"/>
      <c r="G12" s="32"/>
      <c r="H12" s="32"/>
      <c r="I12" s="32"/>
      <c r="J12" s="14"/>
      <c r="K12" s="14"/>
      <c r="L12" s="14"/>
      <c r="M12" s="14"/>
      <c r="N12" s="14"/>
      <c r="O12" s="14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3:31" s="1" customFormat="1" ht="12.75">
      <c r="C13" s="20" t="s">
        <v>224</v>
      </c>
      <c r="D13" s="20"/>
      <c r="E13" s="38"/>
      <c r="F13" s="38"/>
      <c r="G13" s="38"/>
      <c r="H13" s="38"/>
      <c r="I13" s="38"/>
      <c r="J13" s="28"/>
      <c r="K13" s="28"/>
      <c r="L13" s="28"/>
      <c r="M13" s="28"/>
      <c r="N13" s="28"/>
      <c r="O13" s="2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3:31" ht="12.75">
      <c r="C14" s="5" t="s">
        <v>69</v>
      </c>
      <c r="D14" s="5" t="str">
        <f>D7</f>
        <v>Rs. Crores</v>
      </c>
      <c r="E14" s="32"/>
      <c r="F14" s="32">
        <f aca="true" t="shared" si="12" ref="F14:Q14">E38</f>
        <v>15.703155609827416</v>
      </c>
      <c r="G14" s="32">
        <f t="shared" si="12"/>
        <v>47.68905203348891</v>
      </c>
      <c r="H14" s="32">
        <f t="shared" si="12"/>
        <v>58.50883693956468</v>
      </c>
      <c r="I14" s="32">
        <f t="shared" si="12"/>
        <v>52.50793058678881</v>
      </c>
      <c r="J14" s="14">
        <f t="shared" si="12"/>
        <v>46.50702423401294</v>
      </c>
      <c r="K14" s="14">
        <f t="shared" si="12"/>
        <v>40.50611788123707</v>
      </c>
      <c r="L14" s="14">
        <f t="shared" si="12"/>
        <v>34.505211528461196</v>
      </c>
      <c r="M14" s="14">
        <f t="shared" si="12"/>
        <v>28.504305175685325</v>
      </c>
      <c r="N14" s="14">
        <f t="shared" si="12"/>
        <v>22.503398822909453</v>
      </c>
      <c r="O14" s="14">
        <f t="shared" si="12"/>
        <v>16.502492470133582</v>
      </c>
      <c r="P14" s="32">
        <f t="shared" si="12"/>
        <v>10.501586117357718</v>
      </c>
      <c r="Q14" s="32">
        <f t="shared" si="12"/>
        <v>4.500679764581854</v>
      </c>
      <c r="R14" s="32">
        <f aca="true" t="shared" si="13" ref="R14:AE14">Q38</f>
        <v>0</v>
      </c>
      <c r="S14" s="32">
        <f t="shared" si="13"/>
        <v>0</v>
      </c>
      <c r="T14" s="32">
        <f t="shared" si="13"/>
        <v>0</v>
      </c>
      <c r="U14" s="32">
        <f t="shared" si="13"/>
        <v>0</v>
      </c>
      <c r="V14" s="32">
        <f t="shared" si="13"/>
        <v>0</v>
      </c>
      <c r="W14" s="32">
        <f t="shared" si="13"/>
        <v>0</v>
      </c>
      <c r="X14" s="32">
        <f t="shared" si="13"/>
        <v>0</v>
      </c>
      <c r="Y14" s="32">
        <f t="shared" si="13"/>
        <v>0</v>
      </c>
      <c r="Z14" s="32">
        <f t="shared" si="13"/>
        <v>0</v>
      </c>
      <c r="AA14" s="32">
        <f t="shared" si="13"/>
        <v>0</v>
      </c>
      <c r="AB14" s="32">
        <f t="shared" si="13"/>
        <v>0</v>
      </c>
      <c r="AC14" s="32">
        <f t="shared" si="13"/>
        <v>0</v>
      </c>
      <c r="AD14" s="32">
        <f t="shared" si="13"/>
        <v>0</v>
      </c>
      <c r="AE14" s="32">
        <f t="shared" si="13"/>
        <v>0</v>
      </c>
    </row>
    <row r="15" spans="3:31" ht="12.75">
      <c r="C15" s="5" t="s">
        <v>71</v>
      </c>
      <c r="D15" s="5" t="str">
        <f>D8</f>
        <v>Rs. Crores</v>
      </c>
      <c r="E15" s="32"/>
      <c r="F15" s="32">
        <f>Capex!F19/4</f>
        <v>7.996474105915374</v>
      </c>
      <c r="G15" s="32">
        <f>Capex!G19/2</f>
        <v>5.409892453037885</v>
      </c>
      <c r="H15" s="32"/>
      <c r="I15" s="32"/>
      <c r="J15" s="14"/>
      <c r="K15" s="14"/>
      <c r="L15" s="14"/>
      <c r="M15" s="14"/>
      <c r="N15" s="14"/>
      <c r="O15" s="14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3:31" ht="12.75">
      <c r="C16" s="5" t="s">
        <v>70</v>
      </c>
      <c r="D16" s="5" t="str">
        <f>D9</f>
        <v>Rs. Crores</v>
      </c>
      <c r="E16" s="32"/>
      <c r="F16" s="32"/>
      <c r="G16" s="32"/>
      <c r="H16" s="32">
        <f>Capex!$AF$19/Input!$E$109</f>
        <v>1.5002265881939663</v>
      </c>
      <c r="I16" s="32">
        <f>Capex!$AF$19/Input!$E$109</f>
        <v>1.5002265881939663</v>
      </c>
      <c r="J16" s="32">
        <f>Capex!$AF$19/Input!$E$109</f>
        <v>1.5002265881939663</v>
      </c>
      <c r="K16" s="32">
        <f>Capex!$AF$19/Input!$E$109</f>
        <v>1.5002265881939663</v>
      </c>
      <c r="L16" s="32">
        <f>Capex!$AF$19/Input!$E$109</f>
        <v>1.5002265881939663</v>
      </c>
      <c r="M16" s="32">
        <f>Capex!$AF$19/Input!$E$109</f>
        <v>1.5002265881939663</v>
      </c>
      <c r="N16" s="32">
        <f>Capex!$AF$19/Input!$E$109</f>
        <v>1.5002265881939663</v>
      </c>
      <c r="O16" s="32">
        <f>Capex!$AF$19/Input!$E$109</f>
        <v>1.5002265881939663</v>
      </c>
      <c r="P16" s="32">
        <f>Capex!$AF$19/Input!$E$109</f>
        <v>1.5002265881939663</v>
      </c>
      <c r="Q16" s="32">
        <f>Capex!$AF$19/Input!$E$109</f>
        <v>1.5002265881939663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3:31" ht="12.75">
      <c r="C17" s="5" t="s">
        <v>72</v>
      </c>
      <c r="D17" s="5" t="str">
        <f>D10</f>
        <v>Rs. Crores</v>
      </c>
      <c r="E17" s="32">
        <f aca="true" t="shared" si="14" ref="E17:Q17">E14+E15-E16</f>
        <v>0</v>
      </c>
      <c r="F17" s="32">
        <f t="shared" si="14"/>
        <v>23.69962971574279</v>
      </c>
      <c r="G17" s="32">
        <f t="shared" si="14"/>
        <v>53.0989444865268</v>
      </c>
      <c r="H17" s="32">
        <f t="shared" si="14"/>
        <v>57.00861035137071</v>
      </c>
      <c r="I17" s="32">
        <f t="shared" si="14"/>
        <v>51.00770399859484</v>
      </c>
      <c r="J17" s="14">
        <f t="shared" si="14"/>
        <v>45.00679764581897</v>
      </c>
      <c r="K17" s="14">
        <f t="shared" si="14"/>
        <v>39.0058912930431</v>
      </c>
      <c r="L17" s="14">
        <f t="shared" si="14"/>
        <v>33.00498494026723</v>
      </c>
      <c r="M17" s="14">
        <f t="shared" si="14"/>
        <v>27.004078587491357</v>
      </c>
      <c r="N17" s="14">
        <f t="shared" si="14"/>
        <v>21.003172234715485</v>
      </c>
      <c r="O17" s="14">
        <f t="shared" si="14"/>
        <v>15.002265881939616</v>
      </c>
      <c r="P17" s="32">
        <f t="shared" si="14"/>
        <v>9.001359529163752</v>
      </c>
      <c r="Q17" s="32">
        <f t="shared" si="14"/>
        <v>3.0004531763878877</v>
      </c>
      <c r="R17" s="32">
        <f aca="true" t="shared" si="15" ref="R17:AE17">R14+R15-R16</f>
        <v>0</v>
      </c>
      <c r="S17" s="32">
        <f t="shared" si="15"/>
        <v>0</v>
      </c>
      <c r="T17" s="32">
        <f t="shared" si="15"/>
        <v>0</v>
      </c>
      <c r="U17" s="32">
        <f t="shared" si="15"/>
        <v>0</v>
      </c>
      <c r="V17" s="32">
        <f t="shared" si="15"/>
        <v>0</v>
      </c>
      <c r="W17" s="32">
        <f t="shared" si="15"/>
        <v>0</v>
      </c>
      <c r="X17" s="32">
        <f t="shared" si="15"/>
        <v>0</v>
      </c>
      <c r="Y17" s="32">
        <f t="shared" si="15"/>
        <v>0</v>
      </c>
      <c r="Z17" s="32">
        <f t="shared" si="15"/>
        <v>0</v>
      </c>
      <c r="AA17" s="32">
        <f t="shared" si="15"/>
        <v>0</v>
      </c>
      <c r="AB17" s="32">
        <f t="shared" si="15"/>
        <v>0</v>
      </c>
      <c r="AC17" s="32">
        <f t="shared" si="15"/>
        <v>0</v>
      </c>
      <c r="AD17" s="32">
        <f t="shared" si="15"/>
        <v>0</v>
      </c>
      <c r="AE17" s="32">
        <f t="shared" si="15"/>
        <v>0</v>
      </c>
    </row>
    <row r="18" spans="3:31" ht="12.75">
      <c r="C18" s="5" t="s">
        <v>73</v>
      </c>
      <c r="D18" s="5" t="str">
        <f>D11</f>
        <v>Rs. Crores</v>
      </c>
      <c r="E18" s="32">
        <f aca="true" t="shared" si="16" ref="E18:Q18">(E14+E17)/2*$E$5/4</f>
        <v>0</v>
      </c>
      <c r="F18" s="32">
        <f t="shared" si="16"/>
        <v>0.517161557398109</v>
      </c>
      <c r="G18" s="32">
        <f t="shared" si="16"/>
        <v>1.3228424543252062</v>
      </c>
      <c r="H18" s="32">
        <f t="shared" si="16"/>
        <v>1.516166495693527</v>
      </c>
      <c r="I18" s="32">
        <f t="shared" si="16"/>
        <v>1.3586427039331603</v>
      </c>
      <c r="J18" s="14">
        <f t="shared" si="16"/>
        <v>1.2011189121727937</v>
      </c>
      <c r="K18" s="14">
        <f t="shared" si="16"/>
        <v>1.0435951204124272</v>
      </c>
      <c r="L18" s="14">
        <f t="shared" si="16"/>
        <v>0.8860713286520605</v>
      </c>
      <c r="M18" s="14">
        <f t="shared" si="16"/>
        <v>0.7285475368916939</v>
      </c>
      <c r="N18" s="14">
        <f t="shared" si="16"/>
        <v>0.5710237451313273</v>
      </c>
      <c r="O18" s="14">
        <f t="shared" si="16"/>
        <v>0.4134999533709607</v>
      </c>
      <c r="P18" s="14">
        <f t="shared" si="16"/>
        <v>0.2559761616105943</v>
      </c>
      <c r="Q18" s="14">
        <f t="shared" si="16"/>
        <v>0.09845236985022786</v>
      </c>
      <c r="R18" s="14">
        <f aca="true" t="shared" si="17" ref="R18:AE18">(R14+R17)/2*$E$5/4</f>
        <v>0</v>
      </c>
      <c r="S18" s="14">
        <f t="shared" si="17"/>
        <v>0</v>
      </c>
      <c r="T18" s="14">
        <f t="shared" si="17"/>
        <v>0</v>
      </c>
      <c r="U18" s="14">
        <f t="shared" si="17"/>
        <v>0</v>
      </c>
      <c r="V18" s="14">
        <f t="shared" si="17"/>
        <v>0</v>
      </c>
      <c r="W18" s="14">
        <f t="shared" si="17"/>
        <v>0</v>
      </c>
      <c r="X18" s="14">
        <f t="shared" si="17"/>
        <v>0</v>
      </c>
      <c r="Y18" s="14">
        <f t="shared" si="17"/>
        <v>0</v>
      </c>
      <c r="Z18" s="14">
        <f t="shared" si="17"/>
        <v>0</v>
      </c>
      <c r="AA18" s="14">
        <f t="shared" si="17"/>
        <v>0</v>
      </c>
      <c r="AB18" s="14">
        <f t="shared" si="17"/>
        <v>0</v>
      </c>
      <c r="AC18" s="14">
        <f t="shared" si="17"/>
        <v>0</v>
      </c>
      <c r="AD18" s="14">
        <f t="shared" si="17"/>
        <v>0</v>
      </c>
      <c r="AE18" s="14">
        <f t="shared" si="17"/>
        <v>0</v>
      </c>
    </row>
    <row r="19" spans="3:31" ht="12.75">
      <c r="C19" s="5"/>
      <c r="D19" s="5"/>
      <c r="E19" s="32"/>
      <c r="F19" s="32"/>
      <c r="G19" s="32"/>
      <c r="H19" s="32"/>
      <c r="I19" s="32"/>
      <c r="J19" s="14"/>
      <c r="K19" s="14"/>
      <c r="L19" s="14"/>
      <c r="M19" s="14"/>
      <c r="N19" s="14"/>
      <c r="O19" s="14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3:31" s="1" customFormat="1" ht="12.75">
      <c r="C20" s="20" t="s">
        <v>225</v>
      </c>
      <c r="D20" s="20"/>
      <c r="E20" s="38"/>
      <c r="F20" s="38"/>
      <c r="G20" s="38"/>
      <c r="H20" s="38"/>
      <c r="I20" s="38"/>
      <c r="J20" s="28"/>
      <c r="K20" s="28"/>
      <c r="L20" s="28"/>
      <c r="M20" s="28"/>
      <c r="N20" s="28"/>
      <c r="O20" s="2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3:31" ht="12.75">
      <c r="C21" s="5" t="s">
        <v>69</v>
      </c>
      <c r="D21" s="5" t="str">
        <f>D14</f>
        <v>Rs. Crores</v>
      </c>
      <c r="E21" s="32">
        <f aca="true" t="shared" si="18" ref="E21:Q21">E17</f>
        <v>0</v>
      </c>
      <c r="F21" s="32">
        <f t="shared" si="18"/>
        <v>23.69962971574279</v>
      </c>
      <c r="G21" s="32">
        <f t="shared" si="18"/>
        <v>53.0989444865268</v>
      </c>
      <c r="H21" s="32">
        <f t="shared" si="18"/>
        <v>57.00861035137071</v>
      </c>
      <c r="I21" s="32">
        <f t="shared" si="18"/>
        <v>51.00770399859484</v>
      </c>
      <c r="J21" s="14">
        <f t="shared" si="18"/>
        <v>45.00679764581897</v>
      </c>
      <c r="K21" s="14">
        <f t="shared" si="18"/>
        <v>39.0058912930431</v>
      </c>
      <c r="L21" s="14">
        <f t="shared" si="18"/>
        <v>33.00498494026723</v>
      </c>
      <c r="M21" s="14">
        <f t="shared" si="18"/>
        <v>27.004078587491357</v>
      </c>
      <c r="N21" s="14">
        <f t="shared" si="18"/>
        <v>21.003172234715485</v>
      </c>
      <c r="O21" s="14">
        <f t="shared" si="18"/>
        <v>15.002265881939616</v>
      </c>
      <c r="P21" s="32">
        <f t="shared" si="18"/>
        <v>9.001359529163752</v>
      </c>
      <c r="Q21" s="32">
        <f t="shared" si="18"/>
        <v>3.0004531763878877</v>
      </c>
      <c r="R21" s="32">
        <f aca="true" t="shared" si="19" ref="R21:AE21">R17</f>
        <v>0</v>
      </c>
      <c r="S21" s="32">
        <f t="shared" si="19"/>
        <v>0</v>
      </c>
      <c r="T21" s="32">
        <f t="shared" si="19"/>
        <v>0</v>
      </c>
      <c r="U21" s="32">
        <f t="shared" si="19"/>
        <v>0</v>
      </c>
      <c r="V21" s="32">
        <f t="shared" si="19"/>
        <v>0</v>
      </c>
      <c r="W21" s="32">
        <f t="shared" si="19"/>
        <v>0</v>
      </c>
      <c r="X21" s="32">
        <f t="shared" si="19"/>
        <v>0</v>
      </c>
      <c r="Y21" s="32">
        <f t="shared" si="19"/>
        <v>0</v>
      </c>
      <c r="Z21" s="32">
        <f t="shared" si="19"/>
        <v>0</v>
      </c>
      <c r="AA21" s="32">
        <f t="shared" si="19"/>
        <v>0</v>
      </c>
      <c r="AB21" s="32">
        <f t="shared" si="19"/>
        <v>0</v>
      </c>
      <c r="AC21" s="32">
        <f t="shared" si="19"/>
        <v>0</v>
      </c>
      <c r="AD21" s="32">
        <f t="shared" si="19"/>
        <v>0</v>
      </c>
      <c r="AE21" s="32">
        <f t="shared" si="19"/>
        <v>0</v>
      </c>
    </row>
    <row r="22" spans="3:31" ht="12.75">
      <c r="C22" s="5" t="s">
        <v>71</v>
      </c>
      <c r="D22" s="5" t="str">
        <f>D15</f>
        <v>Rs. Crores</v>
      </c>
      <c r="E22" s="32"/>
      <c r="F22" s="32">
        <f>F15</f>
        <v>7.996474105915374</v>
      </c>
      <c r="G22" s="32">
        <f>G15</f>
        <v>5.409892453037885</v>
      </c>
      <c r="H22" s="32"/>
      <c r="I22" s="32"/>
      <c r="J22" s="14"/>
      <c r="K22" s="14"/>
      <c r="L22" s="14"/>
      <c r="M22" s="14"/>
      <c r="N22" s="14"/>
      <c r="O22" s="1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3:31" ht="12.75">
      <c r="C23" s="5" t="s">
        <v>70</v>
      </c>
      <c r="D23" s="5" t="str">
        <f>D16</f>
        <v>Rs. Crores</v>
      </c>
      <c r="E23" s="32"/>
      <c r="F23" s="32"/>
      <c r="G23" s="32"/>
      <c r="H23" s="32">
        <f aca="true" t="shared" si="20" ref="H23:Q23">H16</f>
        <v>1.5002265881939663</v>
      </c>
      <c r="I23" s="32">
        <f t="shared" si="20"/>
        <v>1.5002265881939663</v>
      </c>
      <c r="J23" s="32">
        <f t="shared" si="20"/>
        <v>1.5002265881939663</v>
      </c>
      <c r="K23" s="32">
        <f t="shared" si="20"/>
        <v>1.5002265881939663</v>
      </c>
      <c r="L23" s="32">
        <f t="shared" si="20"/>
        <v>1.5002265881939663</v>
      </c>
      <c r="M23" s="32">
        <f t="shared" si="20"/>
        <v>1.5002265881939663</v>
      </c>
      <c r="N23" s="32">
        <f t="shared" si="20"/>
        <v>1.5002265881939663</v>
      </c>
      <c r="O23" s="32">
        <f t="shared" si="20"/>
        <v>1.5002265881939663</v>
      </c>
      <c r="P23" s="32">
        <f t="shared" si="20"/>
        <v>1.5002265881939663</v>
      </c>
      <c r="Q23" s="32">
        <f t="shared" si="20"/>
        <v>1.5002265881939663</v>
      </c>
      <c r="R23" s="32">
        <f aca="true" t="shared" si="21" ref="R23:AE23">R16</f>
        <v>0</v>
      </c>
      <c r="S23" s="32">
        <f t="shared" si="21"/>
        <v>0</v>
      </c>
      <c r="T23" s="32">
        <f t="shared" si="21"/>
        <v>0</v>
      </c>
      <c r="U23" s="32">
        <f t="shared" si="21"/>
        <v>0</v>
      </c>
      <c r="V23" s="32">
        <f t="shared" si="21"/>
        <v>0</v>
      </c>
      <c r="W23" s="32">
        <f t="shared" si="21"/>
        <v>0</v>
      </c>
      <c r="X23" s="32">
        <f t="shared" si="21"/>
        <v>0</v>
      </c>
      <c r="Y23" s="32">
        <f t="shared" si="21"/>
        <v>0</v>
      </c>
      <c r="Z23" s="32">
        <f t="shared" si="21"/>
        <v>0</v>
      </c>
      <c r="AA23" s="32">
        <f t="shared" si="21"/>
        <v>0</v>
      </c>
      <c r="AB23" s="32">
        <f t="shared" si="21"/>
        <v>0</v>
      </c>
      <c r="AC23" s="32">
        <f t="shared" si="21"/>
        <v>0</v>
      </c>
      <c r="AD23" s="32">
        <f t="shared" si="21"/>
        <v>0</v>
      </c>
      <c r="AE23" s="32">
        <f t="shared" si="21"/>
        <v>0</v>
      </c>
    </row>
    <row r="24" spans="3:31" ht="12.75">
      <c r="C24" s="5" t="s">
        <v>72</v>
      </c>
      <c r="D24" s="5" t="str">
        <f>D17</f>
        <v>Rs. Crores</v>
      </c>
      <c r="E24" s="32">
        <f aca="true" t="shared" si="22" ref="E24:Q24">E21+E22-E23</f>
        <v>0</v>
      </c>
      <c r="F24" s="32">
        <f t="shared" si="22"/>
        <v>31.696103821658166</v>
      </c>
      <c r="G24" s="32">
        <f t="shared" si="22"/>
        <v>58.50883693956468</v>
      </c>
      <c r="H24" s="14">
        <f t="shared" si="22"/>
        <v>55.508383763176745</v>
      </c>
      <c r="I24" s="14">
        <f t="shared" si="22"/>
        <v>49.507477410400874</v>
      </c>
      <c r="J24" s="14">
        <f t="shared" si="22"/>
        <v>43.506571057625</v>
      </c>
      <c r="K24" s="14">
        <f t="shared" si="22"/>
        <v>37.50566470484913</v>
      </c>
      <c r="L24" s="14">
        <f t="shared" si="22"/>
        <v>31.50475835207326</v>
      </c>
      <c r="M24" s="14">
        <f t="shared" si="22"/>
        <v>25.50385199929739</v>
      </c>
      <c r="N24" s="14">
        <f t="shared" si="22"/>
        <v>19.502945646521518</v>
      </c>
      <c r="O24" s="14">
        <f t="shared" si="22"/>
        <v>13.50203929374565</v>
      </c>
      <c r="P24" s="32">
        <f t="shared" si="22"/>
        <v>7.501132940969786</v>
      </c>
      <c r="Q24" s="32">
        <f t="shared" si="22"/>
        <v>1.5002265881939214</v>
      </c>
      <c r="R24" s="32">
        <f aca="true" t="shared" si="23" ref="R24:AE24">R21+R22-R23</f>
        <v>0</v>
      </c>
      <c r="S24" s="32">
        <f t="shared" si="23"/>
        <v>0</v>
      </c>
      <c r="T24" s="32">
        <f t="shared" si="23"/>
        <v>0</v>
      </c>
      <c r="U24" s="32">
        <f t="shared" si="23"/>
        <v>0</v>
      </c>
      <c r="V24" s="32">
        <f t="shared" si="23"/>
        <v>0</v>
      </c>
      <c r="W24" s="32">
        <f t="shared" si="23"/>
        <v>0</v>
      </c>
      <c r="X24" s="32">
        <f t="shared" si="23"/>
        <v>0</v>
      </c>
      <c r="Y24" s="32">
        <f t="shared" si="23"/>
        <v>0</v>
      </c>
      <c r="Z24" s="32">
        <f t="shared" si="23"/>
        <v>0</v>
      </c>
      <c r="AA24" s="32">
        <f t="shared" si="23"/>
        <v>0</v>
      </c>
      <c r="AB24" s="32">
        <f t="shared" si="23"/>
        <v>0</v>
      </c>
      <c r="AC24" s="32">
        <f t="shared" si="23"/>
        <v>0</v>
      </c>
      <c r="AD24" s="32">
        <f t="shared" si="23"/>
        <v>0</v>
      </c>
      <c r="AE24" s="32">
        <f t="shared" si="23"/>
        <v>0</v>
      </c>
    </row>
    <row r="25" spans="3:31" ht="12.75">
      <c r="C25" s="5" t="s">
        <v>73</v>
      </c>
      <c r="D25" s="5" t="str">
        <f>D18</f>
        <v>Rs. Crores</v>
      </c>
      <c r="E25" s="32">
        <f>(E22+E24)/2*$E$5/4</f>
        <v>0</v>
      </c>
      <c r="F25" s="32">
        <f aca="true" t="shared" si="24" ref="F25:Q25">(F21+F24)/2*$E$5/4</f>
        <v>0.7270690026783876</v>
      </c>
      <c r="G25" s="32">
        <f t="shared" si="24"/>
        <v>1.4648521312174505</v>
      </c>
      <c r="H25" s="32">
        <f t="shared" si="24"/>
        <v>1.4767855477534353</v>
      </c>
      <c r="I25" s="32">
        <f t="shared" si="24"/>
        <v>1.3192617559930686</v>
      </c>
      <c r="J25" s="32">
        <f t="shared" si="24"/>
        <v>1.1617379642327021</v>
      </c>
      <c r="K25" s="32">
        <f t="shared" si="24"/>
        <v>1.0042141724723355</v>
      </c>
      <c r="L25" s="32">
        <f t="shared" si="24"/>
        <v>0.8466903807119689</v>
      </c>
      <c r="M25" s="32">
        <f t="shared" si="24"/>
        <v>0.6891665889516022</v>
      </c>
      <c r="N25" s="32">
        <f t="shared" si="24"/>
        <v>0.5316427971912356</v>
      </c>
      <c r="O25" s="32">
        <f t="shared" si="24"/>
        <v>0.3741190054308691</v>
      </c>
      <c r="P25" s="32">
        <f t="shared" si="24"/>
        <v>0.2165952136705027</v>
      </c>
      <c r="Q25" s="32">
        <f t="shared" si="24"/>
        <v>0.05907142191013624</v>
      </c>
      <c r="R25" s="32">
        <f aca="true" t="shared" si="25" ref="R25:AE25">(R21+R24)/2*$E$5/4</f>
        <v>0</v>
      </c>
      <c r="S25" s="32">
        <f t="shared" si="25"/>
        <v>0</v>
      </c>
      <c r="T25" s="32">
        <f t="shared" si="25"/>
        <v>0</v>
      </c>
      <c r="U25" s="32">
        <f t="shared" si="25"/>
        <v>0</v>
      </c>
      <c r="V25" s="32">
        <f t="shared" si="25"/>
        <v>0</v>
      </c>
      <c r="W25" s="32">
        <f t="shared" si="25"/>
        <v>0</v>
      </c>
      <c r="X25" s="32">
        <f t="shared" si="25"/>
        <v>0</v>
      </c>
      <c r="Y25" s="32">
        <f t="shared" si="25"/>
        <v>0</v>
      </c>
      <c r="Z25" s="32">
        <f t="shared" si="25"/>
        <v>0</v>
      </c>
      <c r="AA25" s="32">
        <f t="shared" si="25"/>
        <v>0</v>
      </c>
      <c r="AB25" s="32">
        <f t="shared" si="25"/>
        <v>0</v>
      </c>
      <c r="AC25" s="32">
        <f t="shared" si="25"/>
        <v>0</v>
      </c>
      <c r="AD25" s="32">
        <f t="shared" si="25"/>
        <v>0</v>
      </c>
      <c r="AE25" s="32">
        <f t="shared" si="25"/>
        <v>0</v>
      </c>
    </row>
    <row r="26" spans="3:31" ht="12.75">
      <c r="C26" s="5"/>
      <c r="D26" s="5"/>
      <c r="E26" s="32"/>
      <c r="F26" s="32"/>
      <c r="G26" s="32"/>
      <c r="H26" s="32"/>
      <c r="I26" s="32"/>
      <c r="J26" s="14"/>
      <c r="K26" s="14"/>
      <c r="L26" s="14"/>
      <c r="M26" s="14"/>
      <c r="N26" s="14"/>
      <c r="O26" s="14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3:31" s="1" customFormat="1" ht="12.75">
      <c r="C27" s="20" t="s">
        <v>226</v>
      </c>
      <c r="D27" s="20"/>
      <c r="E27" s="38"/>
      <c r="F27" s="38"/>
      <c r="G27" s="38"/>
      <c r="H27" s="38"/>
      <c r="I27" s="38"/>
      <c r="J27" s="28"/>
      <c r="K27" s="28"/>
      <c r="L27" s="28"/>
      <c r="M27" s="28"/>
      <c r="N27" s="28"/>
      <c r="O27" s="2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3:31" ht="12.75">
      <c r="C28" s="5" t="s">
        <v>69</v>
      </c>
      <c r="D28" s="5" t="str">
        <f>D21</f>
        <v>Rs. Crores</v>
      </c>
      <c r="E28" s="32">
        <f aca="true" t="shared" si="26" ref="E28:Q28">E24</f>
        <v>0</v>
      </c>
      <c r="F28" s="32">
        <f t="shared" si="26"/>
        <v>31.696103821658166</v>
      </c>
      <c r="G28" s="32">
        <f t="shared" si="26"/>
        <v>58.50883693956468</v>
      </c>
      <c r="H28" s="32">
        <f t="shared" si="26"/>
        <v>55.508383763176745</v>
      </c>
      <c r="I28" s="32">
        <f t="shared" si="26"/>
        <v>49.507477410400874</v>
      </c>
      <c r="J28" s="14">
        <f t="shared" si="26"/>
        <v>43.506571057625</v>
      </c>
      <c r="K28" s="14">
        <f t="shared" si="26"/>
        <v>37.50566470484913</v>
      </c>
      <c r="L28" s="14">
        <f t="shared" si="26"/>
        <v>31.50475835207326</v>
      </c>
      <c r="M28" s="14">
        <f t="shared" si="26"/>
        <v>25.50385199929739</v>
      </c>
      <c r="N28" s="14">
        <f t="shared" si="26"/>
        <v>19.502945646521518</v>
      </c>
      <c r="O28" s="14">
        <f t="shared" si="26"/>
        <v>13.50203929374565</v>
      </c>
      <c r="P28" s="32">
        <f t="shared" si="26"/>
        <v>7.501132940969786</v>
      </c>
      <c r="Q28" s="32">
        <f t="shared" si="26"/>
        <v>1.5002265881939214</v>
      </c>
      <c r="R28" s="32">
        <f aca="true" t="shared" si="27" ref="R28:AE28">R24</f>
        <v>0</v>
      </c>
      <c r="S28" s="32">
        <f t="shared" si="27"/>
        <v>0</v>
      </c>
      <c r="T28" s="32">
        <f t="shared" si="27"/>
        <v>0</v>
      </c>
      <c r="U28" s="32">
        <f t="shared" si="27"/>
        <v>0</v>
      </c>
      <c r="V28" s="32">
        <f t="shared" si="27"/>
        <v>0</v>
      </c>
      <c r="W28" s="32">
        <f t="shared" si="27"/>
        <v>0</v>
      </c>
      <c r="X28" s="32">
        <f t="shared" si="27"/>
        <v>0</v>
      </c>
      <c r="Y28" s="32">
        <f t="shared" si="27"/>
        <v>0</v>
      </c>
      <c r="Z28" s="32">
        <f t="shared" si="27"/>
        <v>0</v>
      </c>
      <c r="AA28" s="32">
        <f t="shared" si="27"/>
        <v>0</v>
      </c>
      <c r="AB28" s="32">
        <f t="shared" si="27"/>
        <v>0</v>
      </c>
      <c r="AC28" s="32">
        <f t="shared" si="27"/>
        <v>0</v>
      </c>
      <c r="AD28" s="32">
        <f t="shared" si="27"/>
        <v>0</v>
      </c>
      <c r="AE28" s="32">
        <f t="shared" si="27"/>
        <v>0</v>
      </c>
    </row>
    <row r="29" spans="3:31" ht="12.75">
      <c r="C29" s="5" t="s">
        <v>71</v>
      </c>
      <c r="D29" s="5" t="str">
        <f>D22</f>
        <v>Rs. Crores</v>
      </c>
      <c r="E29" s="32">
        <f>E22</f>
        <v>0</v>
      </c>
      <c r="F29" s="32">
        <f>F22</f>
        <v>7.996474105915374</v>
      </c>
      <c r="G29" s="32"/>
      <c r="H29" s="32"/>
      <c r="I29" s="32"/>
      <c r="J29" s="14"/>
      <c r="K29" s="14"/>
      <c r="L29" s="14"/>
      <c r="M29" s="14"/>
      <c r="N29" s="14"/>
      <c r="O29" s="14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3:31" ht="12.75">
      <c r="C30" s="5" t="s">
        <v>70</v>
      </c>
      <c r="D30" s="5" t="str">
        <f>D23</f>
        <v>Rs. Crores</v>
      </c>
      <c r="E30" s="32"/>
      <c r="F30" s="32"/>
      <c r="G30" s="32">
        <f aca="true" t="shared" si="28" ref="G30:P30">G23</f>
        <v>0</v>
      </c>
      <c r="H30" s="32">
        <f t="shared" si="28"/>
        <v>1.5002265881939663</v>
      </c>
      <c r="I30" s="32">
        <f t="shared" si="28"/>
        <v>1.5002265881939663</v>
      </c>
      <c r="J30" s="32">
        <f t="shared" si="28"/>
        <v>1.5002265881939663</v>
      </c>
      <c r="K30" s="32">
        <f t="shared" si="28"/>
        <v>1.5002265881939663</v>
      </c>
      <c r="L30" s="32">
        <f t="shared" si="28"/>
        <v>1.5002265881939663</v>
      </c>
      <c r="M30" s="32">
        <f t="shared" si="28"/>
        <v>1.5002265881939663</v>
      </c>
      <c r="N30" s="32">
        <f t="shared" si="28"/>
        <v>1.5002265881939663</v>
      </c>
      <c r="O30" s="32">
        <f t="shared" si="28"/>
        <v>1.5002265881939663</v>
      </c>
      <c r="P30" s="32">
        <f t="shared" si="28"/>
        <v>1.5002265881939663</v>
      </c>
      <c r="Q30" s="32">
        <f>Q28</f>
        <v>1.5002265881939214</v>
      </c>
      <c r="R30" s="32">
        <f aca="true" t="shared" si="29" ref="R30:AE30">R23</f>
        <v>0</v>
      </c>
      <c r="S30" s="32">
        <f t="shared" si="29"/>
        <v>0</v>
      </c>
      <c r="T30" s="32">
        <f t="shared" si="29"/>
        <v>0</v>
      </c>
      <c r="U30" s="32">
        <f t="shared" si="29"/>
        <v>0</v>
      </c>
      <c r="V30" s="32">
        <f t="shared" si="29"/>
        <v>0</v>
      </c>
      <c r="W30" s="32">
        <f t="shared" si="29"/>
        <v>0</v>
      </c>
      <c r="X30" s="32">
        <f t="shared" si="29"/>
        <v>0</v>
      </c>
      <c r="Y30" s="32">
        <f t="shared" si="29"/>
        <v>0</v>
      </c>
      <c r="Z30" s="32">
        <f t="shared" si="29"/>
        <v>0</v>
      </c>
      <c r="AA30" s="32">
        <f t="shared" si="29"/>
        <v>0</v>
      </c>
      <c r="AB30" s="32">
        <f t="shared" si="29"/>
        <v>0</v>
      </c>
      <c r="AC30" s="32">
        <f t="shared" si="29"/>
        <v>0</v>
      </c>
      <c r="AD30" s="32">
        <f t="shared" si="29"/>
        <v>0</v>
      </c>
      <c r="AE30" s="32">
        <f t="shared" si="29"/>
        <v>0</v>
      </c>
    </row>
    <row r="31" spans="3:31" ht="12.75">
      <c r="C31" s="5" t="s">
        <v>72</v>
      </c>
      <c r="D31" s="5" t="str">
        <f>D24</f>
        <v>Rs. Crores</v>
      </c>
      <c r="E31" s="32">
        <f aca="true" t="shared" si="30" ref="E31:Q31">E28+E29-E30</f>
        <v>0</v>
      </c>
      <c r="F31" s="32">
        <f t="shared" si="30"/>
        <v>39.69257792757354</v>
      </c>
      <c r="G31" s="32">
        <f t="shared" si="30"/>
        <v>58.50883693956468</v>
      </c>
      <c r="H31" s="32">
        <f t="shared" si="30"/>
        <v>54.00815717498278</v>
      </c>
      <c r="I31" s="32">
        <f t="shared" si="30"/>
        <v>48.007250822206906</v>
      </c>
      <c r="J31" s="14">
        <f t="shared" si="30"/>
        <v>42.006344469431035</v>
      </c>
      <c r="K31" s="14">
        <f t="shared" si="30"/>
        <v>36.005438116655164</v>
      </c>
      <c r="L31" s="14">
        <f t="shared" si="30"/>
        <v>30.004531763879292</v>
      </c>
      <c r="M31" s="14">
        <f t="shared" si="30"/>
        <v>24.00362541110342</v>
      </c>
      <c r="N31" s="14">
        <f t="shared" si="30"/>
        <v>18.00271905832755</v>
      </c>
      <c r="O31" s="14">
        <f t="shared" si="30"/>
        <v>12.001812705551684</v>
      </c>
      <c r="P31" s="32">
        <f t="shared" si="30"/>
        <v>6.00090635277582</v>
      </c>
      <c r="Q31" s="32">
        <f t="shared" si="30"/>
        <v>0</v>
      </c>
      <c r="R31" s="32">
        <f aca="true" t="shared" si="31" ref="R31:AE31">R28+R29-R30</f>
        <v>0</v>
      </c>
      <c r="S31" s="32">
        <f t="shared" si="31"/>
        <v>0</v>
      </c>
      <c r="T31" s="32">
        <f t="shared" si="31"/>
        <v>0</v>
      </c>
      <c r="U31" s="32">
        <f t="shared" si="31"/>
        <v>0</v>
      </c>
      <c r="V31" s="32">
        <f t="shared" si="31"/>
        <v>0</v>
      </c>
      <c r="W31" s="32">
        <f t="shared" si="31"/>
        <v>0</v>
      </c>
      <c r="X31" s="32">
        <f t="shared" si="31"/>
        <v>0</v>
      </c>
      <c r="Y31" s="32">
        <f t="shared" si="31"/>
        <v>0</v>
      </c>
      <c r="Z31" s="32">
        <f t="shared" si="31"/>
        <v>0</v>
      </c>
      <c r="AA31" s="32">
        <f t="shared" si="31"/>
        <v>0</v>
      </c>
      <c r="AB31" s="32">
        <f t="shared" si="31"/>
        <v>0</v>
      </c>
      <c r="AC31" s="32">
        <f t="shared" si="31"/>
        <v>0</v>
      </c>
      <c r="AD31" s="32">
        <f t="shared" si="31"/>
        <v>0</v>
      </c>
      <c r="AE31" s="32">
        <f t="shared" si="31"/>
        <v>0</v>
      </c>
    </row>
    <row r="32" spans="3:31" ht="12.75">
      <c r="C32" s="5" t="s">
        <v>73</v>
      </c>
      <c r="D32" s="5" t="str">
        <f>D25</f>
        <v>Rs. Crores</v>
      </c>
      <c r="E32" s="32">
        <f aca="true" t="shared" si="32" ref="E32:Q32">(E28+E31)/2*$E$5/4</f>
        <v>0</v>
      </c>
      <c r="F32" s="32">
        <f t="shared" si="32"/>
        <v>0.9369764479586661</v>
      </c>
      <c r="G32" s="32">
        <f t="shared" si="32"/>
        <v>1.5358569696635729</v>
      </c>
      <c r="H32" s="32">
        <f t="shared" si="32"/>
        <v>1.4374045998133438</v>
      </c>
      <c r="I32" s="32">
        <f t="shared" si="32"/>
        <v>1.279880808052977</v>
      </c>
      <c r="J32" s="32">
        <f t="shared" si="32"/>
        <v>1.1223570162926104</v>
      </c>
      <c r="K32" s="32">
        <f t="shared" si="32"/>
        <v>0.9648332245322438</v>
      </c>
      <c r="L32" s="32">
        <f t="shared" si="32"/>
        <v>0.8073094327718772</v>
      </c>
      <c r="M32" s="32">
        <f t="shared" si="32"/>
        <v>0.6497856410115106</v>
      </c>
      <c r="N32" s="32">
        <f t="shared" si="32"/>
        <v>0.49226184925114397</v>
      </c>
      <c r="O32" s="32">
        <f t="shared" si="32"/>
        <v>0.33473805749077745</v>
      </c>
      <c r="P32" s="32">
        <f t="shared" si="32"/>
        <v>0.17721426573041107</v>
      </c>
      <c r="Q32" s="32">
        <f t="shared" si="32"/>
        <v>0.019690473970045218</v>
      </c>
      <c r="R32" s="32">
        <f aca="true" t="shared" si="33" ref="R32:AE32">(R28+R31)/2*$E$5/4</f>
        <v>0</v>
      </c>
      <c r="S32" s="32">
        <f t="shared" si="33"/>
        <v>0</v>
      </c>
      <c r="T32" s="32">
        <f t="shared" si="33"/>
        <v>0</v>
      </c>
      <c r="U32" s="32">
        <f t="shared" si="33"/>
        <v>0</v>
      </c>
      <c r="V32" s="32">
        <f t="shared" si="33"/>
        <v>0</v>
      </c>
      <c r="W32" s="32">
        <f t="shared" si="33"/>
        <v>0</v>
      </c>
      <c r="X32" s="32">
        <f t="shared" si="33"/>
        <v>0</v>
      </c>
      <c r="Y32" s="32">
        <f t="shared" si="33"/>
        <v>0</v>
      </c>
      <c r="Z32" s="32">
        <f t="shared" si="33"/>
        <v>0</v>
      </c>
      <c r="AA32" s="32">
        <f t="shared" si="33"/>
        <v>0</v>
      </c>
      <c r="AB32" s="32">
        <f t="shared" si="33"/>
        <v>0</v>
      </c>
      <c r="AC32" s="32">
        <f t="shared" si="33"/>
        <v>0</v>
      </c>
      <c r="AD32" s="32">
        <f t="shared" si="33"/>
        <v>0</v>
      </c>
      <c r="AE32" s="32">
        <f t="shared" si="33"/>
        <v>0</v>
      </c>
    </row>
    <row r="33" spans="3:31" ht="12.75">
      <c r="C33" s="5"/>
      <c r="D33" s="5"/>
      <c r="E33" s="32"/>
      <c r="F33" s="32"/>
      <c r="G33" s="32"/>
      <c r="H33" s="32"/>
      <c r="I33" s="32"/>
      <c r="J33" s="14"/>
      <c r="K33" s="14"/>
      <c r="L33" s="14"/>
      <c r="M33" s="14"/>
      <c r="N33" s="14"/>
      <c r="O33" s="14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3:31" s="1" customFormat="1" ht="12.75">
      <c r="C34" s="20" t="s">
        <v>227</v>
      </c>
      <c r="D34" s="20"/>
      <c r="E34" s="38"/>
      <c r="F34" s="38"/>
      <c r="G34" s="38"/>
      <c r="H34" s="38"/>
      <c r="I34" s="38"/>
      <c r="J34" s="28"/>
      <c r="K34" s="28"/>
      <c r="L34" s="28"/>
      <c r="M34" s="28"/>
      <c r="N34" s="28"/>
      <c r="O34" s="2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3:31" ht="12.75">
      <c r="C35" s="5" t="s">
        <v>69</v>
      </c>
      <c r="D35" s="5" t="str">
        <f>D28</f>
        <v>Rs. Crores</v>
      </c>
      <c r="E35" s="32">
        <f aca="true" t="shared" si="34" ref="E35:Q35">E31</f>
        <v>0</v>
      </c>
      <c r="F35" s="32">
        <f t="shared" si="34"/>
        <v>39.69257792757354</v>
      </c>
      <c r="G35" s="32">
        <f t="shared" si="34"/>
        <v>58.50883693956468</v>
      </c>
      <c r="H35" s="32">
        <f t="shared" si="34"/>
        <v>54.00815717498278</v>
      </c>
      <c r="I35" s="32">
        <f t="shared" si="34"/>
        <v>48.007250822206906</v>
      </c>
      <c r="J35" s="14">
        <f t="shared" si="34"/>
        <v>42.006344469431035</v>
      </c>
      <c r="K35" s="14">
        <f t="shared" si="34"/>
        <v>36.005438116655164</v>
      </c>
      <c r="L35" s="14">
        <f t="shared" si="34"/>
        <v>30.004531763879292</v>
      </c>
      <c r="M35" s="14">
        <f t="shared" si="34"/>
        <v>24.00362541110342</v>
      </c>
      <c r="N35" s="14">
        <f t="shared" si="34"/>
        <v>18.00271905832755</v>
      </c>
      <c r="O35" s="14">
        <f t="shared" si="34"/>
        <v>12.001812705551684</v>
      </c>
      <c r="P35" s="32">
        <f t="shared" si="34"/>
        <v>6.00090635277582</v>
      </c>
      <c r="Q35" s="32">
        <f t="shared" si="34"/>
        <v>0</v>
      </c>
      <c r="R35" s="32">
        <f aca="true" t="shared" si="35" ref="R35:AE35">R31</f>
        <v>0</v>
      </c>
      <c r="S35" s="32">
        <f t="shared" si="35"/>
        <v>0</v>
      </c>
      <c r="T35" s="32">
        <f t="shared" si="35"/>
        <v>0</v>
      </c>
      <c r="U35" s="32">
        <f t="shared" si="35"/>
        <v>0</v>
      </c>
      <c r="V35" s="32">
        <f t="shared" si="35"/>
        <v>0</v>
      </c>
      <c r="W35" s="32">
        <f t="shared" si="35"/>
        <v>0</v>
      </c>
      <c r="X35" s="32">
        <f t="shared" si="35"/>
        <v>0</v>
      </c>
      <c r="Y35" s="32">
        <f t="shared" si="35"/>
        <v>0</v>
      </c>
      <c r="Z35" s="32">
        <f t="shared" si="35"/>
        <v>0</v>
      </c>
      <c r="AA35" s="32">
        <f t="shared" si="35"/>
        <v>0</v>
      </c>
      <c r="AB35" s="32">
        <f t="shared" si="35"/>
        <v>0</v>
      </c>
      <c r="AC35" s="32">
        <f t="shared" si="35"/>
        <v>0</v>
      </c>
      <c r="AD35" s="32">
        <f t="shared" si="35"/>
        <v>0</v>
      </c>
      <c r="AE35" s="32">
        <f t="shared" si="35"/>
        <v>0</v>
      </c>
    </row>
    <row r="36" spans="3:31" ht="12.75">
      <c r="C36" s="5" t="s">
        <v>71</v>
      </c>
      <c r="D36" s="5" t="str">
        <f>D29</f>
        <v>Rs. Crores</v>
      </c>
      <c r="E36" s="32">
        <f>Capex!E19</f>
        <v>15.703155609827416</v>
      </c>
      <c r="F36" s="32">
        <f>F29</f>
        <v>7.996474105915374</v>
      </c>
      <c r="G36" s="32"/>
      <c r="H36" s="32"/>
      <c r="I36" s="32"/>
      <c r="J36" s="14"/>
      <c r="K36" s="14"/>
      <c r="L36" s="14"/>
      <c r="M36" s="14"/>
      <c r="N36" s="14"/>
      <c r="O36" s="14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3:31" ht="12.75">
      <c r="C37" s="5" t="s">
        <v>70</v>
      </c>
      <c r="D37" s="5" t="str">
        <f>D30</f>
        <v>Rs. Crores</v>
      </c>
      <c r="E37" s="32"/>
      <c r="F37" s="32"/>
      <c r="G37" s="32">
        <f aca="true" t="shared" si="36" ref="G37:P37">G30</f>
        <v>0</v>
      </c>
      <c r="H37" s="32">
        <f t="shared" si="36"/>
        <v>1.5002265881939663</v>
      </c>
      <c r="I37" s="32">
        <f t="shared" si="36"/>
        <v>1.5002265881939663</v>
      </c>
      <c r="J37" s="32">
        <f t="shared" si="36"/>
        <v>1.5002265881939663</v>
      </c>
      <c r="K37" s="32">
        <f t="shared" si="36"/>
        <v>1.5002265881939663</v>
      </c>
      <c r="L37" s="32">
        <f t="shared" si="36"/>
        <v>1.5002265881939663</v>
      </c>
      <c r="M37" s="32">
        <f t="shared" si="36"/>
        <v>1.5002265881939663</v>
      </c>
      <c r="N37" s="32">
        <f t="shared" si="36"/>
        <v>1.5002265881939663</v>
      </c>
      <c r="O37" s="32">
        <f t="shared" si="36"/>
        <v>1.5002265881939663</v>
      </c>
      <c r="P37" s="32">
        <f t="shared" si="36"/>
        <v>1.5002265881939663</v>
      </c>
      <c r="Q37" s="32"/>
      <c r="R37" s="32">
        <f aca="true" t="shared" si="37" ref="R37:AE37">R30</f>
        <v>0</v>
      </c>
      <c r="S37" s="32">
        <f t="shared" si="37"/>
        <v>0</v>
      </c>
      <c r="T37" s="32">
        <f t="shared" si="37"/>
        <v>0</v>
      </c>
      <c r="U37" s="32">
        <f t="shared" si="37"/>
        <v>0</v>
      </c>
      <c r="V37" s="32">
        <f t="shared" si="37"/>
        <v>0</v>
      </c>
      <c r="W37" s="32">
        <f t="shared" si="37"/>
        <v>0</v>
      </c>
      <c r="X37" s="32">
        <f t="shared" si="37"/>
        <v>0</v>
      </c>
      <c r="Y37" s="32">
        <f t="shared" si="37"/>
        <v>0</v>
      </c>
      <c r="Z37" s="32">
        <f t="shared" si="37"/>
        <v>0</v>
      </c>
      <c r="AA37" s="32">
        <f t="shared" si="37"/>
        <v>0</v>
      </c>
      <c r="AB37" s="32">
        <f t="shared" si="37"/>
        <v>0</v>
      </c>
      <c r="AC37" s="32">
        <f t="shared" si="37"/>
        <v>0</v>
      </c>
      <c r="AD37" s="32">
        <f t="shared" si="37"/>
        <v>0</v>
      </c>
      <c r="AE37" s="32">
        <f t="shared" si="37"/>
        <v>0</v>
      </c>
    </row>
    <row r="38" spans="3:31" ht="12.75">
      <c r="C38" s="5" t="s">
        <v>72</v>
      </c>
      <c r="D38" s="5" t="str">
        <f>D31</f>
        <v>Rs. Crores</v>
      </c>
      <c r="E38" s="32">
        <f aca="true" t="shared" si="38" ref="E38:Q38">E35+E36-E37</f>
        <v>15.703155609827416</v>
      </c>
      <c r="F38" s="32">
        <f t="shared" si="38"/>
        <v>47.68905203348891</v>
      </c>
      <c r="G38" s="32">
        <f t="shared" si="38"/>
        <v>58.50883693956468</v>
      </c>
      <c r="H38" s="32">
        <f t="shared" si="38"/>
        <v>52.50793058678881</v>
      </c>
      <c r="I38" s="32">
        <f t="shared" si="38"/>
        <v>46.50702423401294</v>
      </c>
      <c r="J38" s="14">
        <f t="shared" si="38"/>
        <v>40.50611788123707</v>
      </c>
      <c r="K38" s="14">
        <f t="shared" si="38"/>
        <v>34.505211528461196</v>
      </c>
      <c r="L38" s="14">
        <f t="shared" si="38"/>
        <v>28.504305175685325</v>
      </c>
      <c r="M38" s="14">
        <f t="shared" si="38"/>
        <v>22.503398822909453</v>
      </c>
      <c r="N38" s="14">
        <f t="shared" si="38"/>
        <v>16.502492470133582</v>
      </c>
      <c r="O38" s="14">
        <f t="shared" si="38"/>
        <v>10.501586117357718</v>
      </c>
      <c r="P38" s="32">
        <f t="shared" si="38"/>
        <v>4.500679764581854</v>
      </c>
      <c r="Q38" s="32">
        <f t="shared" si="38"/>
        <v>0</v>
      </c>
      <c r="R38" s="32">
        <f aca="true" t="shared" si="39" ref="R38:AE38">R35+R36-R37</f>
        <v>0</v>
      </c>
      <c r="S38" s="32">
        <f t="shared" si="39"/>
        <v>0</v>
      </c>
      <c r="T38" s="32">
        <f t="shared" si="39"/>
        <v>0</v>
      </c>
      <c r="U38" s="32">
        <f t="shared" si="39"/>
        <v>0</v>
      </c>
      <c r="V38" s="32">
        <f t="shared" si="39"/>
        <v>0</v>
      </c>
      <c r="W38" s="32">
        <f t="shared" si="39"/>
        <v>0</v>
      </c>
      <c r="X38" s="32">
        <f t="shared" si="39"/>
        <v>0</v>
      </c>
      <c r="Y38" s="32">
        <f t="shared" si="39"/>
        <v>0</v>
      </c>
      <c r="Z38" s="32">
        <f t="shared" si="39"/>
        <v>0</v>
      </c>
      <c r="AA38" s="32">
        <f t="shared" si="39"/>
        <v>0</v>
      </c>
      <c r="AB38" s="32">
        <f t="shared" si="39"/>
        <v>0</v>
      </c>
      <c r="AC38" s="32">
        <f t="shared" si="39"/>
        <v>0</v>
      </c>
      <c r="AD38" s="32">
        <f t="shared" si="39"/>
        <v>0</v>
      </c>
      <c r="AE38" s="32">
        <f t="shared" si="39"/>
        <v>0</v>
      </c>
    </row>
    <row r="39" spans="3:31" ht="12.75">
      <c r="C39" s="5" t="s">
        <v>73</v>
      </c>
      <c r="D39" s="5" t="str">
        <f>D32</f>
        <v>Rs. Crores</v>
      </c>
      <c r="E39" s="32">
        <f>(E36+E38)/2*$E$5/4</f>
        <v>0.4122078347579696</v>
      </c>
      <c r="F39" s="32">
        <f aca="true" t="shared" si="40" ref="F39:Q39">(F35+F38)/2*$E$5/4</f>
        <v>1.1468838932389447</v>
      </c>
      <c r="G39" s="32">
        <f t="shared" si="40"/>
        <v>1.5358569696635729</v>
      </c>
      <c r="H39" s="32">
        <f t="shared" si="40"/>
        <v>1.398023651873252</v>
      </c>
      <c r="I39" s="32">
        <f t="shared" si="40"/>
        <v>1.2404998601128854</v>
      </c>
      <c r="J39" s="32">
        <f t="shared" si="40"/>
        <v>1.0829760683525187</v>
      </c>
      <c r="K39" s="32">
        <f t="shared" si="40"/>
        <v>0.9254522765921522</v>
      </c>
      <c r="L39" s="32">
        <f t="shared" si="40"/>
        <v>0.7679284848317856</v>
      </c>
      <c r="M39" s="32">
        <f t="shared" si="40"/>
        <v>0.610404693071419</v>
      </c>
      <c r="N39" s="32">
        <f t="shared" si="40"/>
        <v>0.45288090131105235</v>
      </c>
      <c r="O39" s="32">
        <f t="shared" si="40"/>
        <v>0.2953571095506859</v>
      </c>
      <c r="P39" s="32">
        <f t="shared" si="40"/>
        <v>0.13783331779031946</v>
      </c>
      <c r="Q39" s="32">
        <f t="shared" si="40"/>
        <v>0</v>
      </c>
      <c r="R39" s="32">
        <f aca="true" t="shared" si="41" ref="R39:AE39">(R35+R38)/2*$E$5/4</f>
        <v>0</v>
      </c>
      <c r="S39" s="32">
        <f t="shared" si="41"/>
        <v>0</v>
      </c>
      <c r="T39" s="32">
        <f t="shared" si="41"/>
        <v>0</v>
      </c>
      <c r="U39" s="32">
        <f t="shared" si="41"/>
        <v>0</v>
      </c>
      <c r="V39" s="32">
        <f t="shared" si="41"/>
        <v>0</v>
      </c>
      <c r="W39" s="32">
        <f t="shared" si="41"/>
        <v>0</v>
      </c>
      <c r="X39" s="32">
        <f t="shared" si="41"/>
        <v>0</v>
      </c>
      <c r="Y39" s="32">
        <f t="shared" si="41"/>
        <v>0</v>
      </c>
      <c r="Z39" s="32">
        <f t="shared" si="41"/>
        <v>0</v>
      </c>
      <c r="AA39" s="32">
        <f t="shared" si="41"/>
        <v>0</v>
      </c>
      <c r="AB39" s="32">
        <f t="shared" si="41"/>
        <v>0</v>
      </c>
      <c r="AC39" s="32">
        <f t="shared" si="41"/>
        <v>0</v>
      </c>
      <c r="AD39" s="32">
        <f t="shared" si="41"/>
        <v>0</v>
      </c>
      <c r="AE39" s="32">
        <f t="shared" si="41"/>
        <v>0</v>
      </c>
    </row>
    <row r="41" spans="3:7" s="29" customFormat="1" ht="12.75">
      <c r="C41" s="29" t="s">
        <v>74</v>
      </c>
      <c r="E41" s="111">
        <f>E39+E32+E25+E18</f>
        <v>0.4122078347579696</v>
      </c>
      <c r="F41" s="111">
        <f>F39+F32+F25+F18</f>
        <v>3.3280909012741073</v>
      </c>
      <c r="G41" s="111">
        <f>G25+G18</f>
        <v>2.7876945855426567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AE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3" max="3" width="32.8515625" style="0" customWidth="1"/>
    <col min="4" max="4" width="10.57421875" style="0" bestFit="1" customWidth="1"/>
    <col min="5" max="6" width="9.57421875" style="0" customWidth="1"/>
    <col min="7" max="15" width="9.57421875" style="0" bestFit="1" customWidth="1"/>
    <col min="16" max="31" width="9.57421875" style="0" customWidth="1"/>
  </cols>
  <sheetData>
    <row r="1" ht="15.75">
      <c r="C1" s="78"/>
    </row>
    <row r="2" ht="12.75">
      <c r="C2" s="34" t="s">
        <v>289</v>
      </c>
    </row>
    <row r="3" spans="5:31" ht="12.75">
      <c r="E3">
        <f>WC!E3</f>
        <v>0</v>
      </c>
      <c r="F3">
        <f>WC!F3</f>
        <v>0</v>
      </c>
      <c r="G3">
        <f>WC!G3</f>
        <v>365</v>
      </c>
      <c r="H3">
        <f>WC!H3</f>
        <v>365</v>
      </c>
      <c r="I3">
        <f>WC!I3</f>
        <v>365</v>
      </c>
      <c r="J3">
        <f>WC!J3</f>
        <v>365</v>
      </c>
      <c r="K3">
        <f>WC!K3</f>
        <v>365</v>
      </c>
      <c r="L3">
        <f>WC!L3</f>
        <v>365</v>
      </c>
      <c r="M3">
        <f>WC!M3</f>
        <v>365</v>
      </c>
      <c r="N3">
        <f>WC!N3</f>
        <v>365</v>
      </c>
      <c r="O3">
        <f>WC!O3</f>
        <v>365</v>
      </c>
      <c r="P3">
        <f>WC!P3</f>
        <v>365</v>
      </c>
      <c r="Q3">
        <f>P3</f>
        <v>365</v>
      </c>
      <c r="R3">
        <f aca="true" t="shared" si="0" ref="R3:AE3">Q3</f>
        <v>365</v>
      </c>
      <c r="S3">
        <f t="shared" si="0"/>
        <v>365</v>
      </c>
      <c r="T3">
        <f t="shared" si="0"/>
        <v>365</v>
      </c>
      <c r="U3">
        <f t="shared" si="0"/>
        <v>365</v>
      </c>
      <c r="V3">
        <f t="shared" si="0"/>
        <v>365</v>
      </c>
      <c r="W3">
        <f t="shared" si="0"/>
        <v>365</v>
      </c>
      <c r="X3">
        <f t="shared" si="0"/>
        <v>365</v>
      </c>
      <c r="Y3">
        <f t="shared" si="0"/>
        <v>365</v>
      </c>
      <c r="Z3">
        <f t="shared" si="0"/>
        <v>365</v>
      </c>
      <c r="AA3">
        <f t="shared" si="0"/>
        <v>365</v>
      </c>
      <c r="AB3">
        <f t="shared" si="0"/>
        <v>365</v>
      </c>
      <c r="AC3">
        <f t="shared" si="0"/>
        <v>365</v>
      </c>
      <c r="AD3">
        <f t="shared" si="0"/>
        <v>365</v>
      </c>
      <c r="AE3">
        <f t="shared" si="0"/>
        <v>365</v>
      </c>
    </row>
    <row r="4" spans="3:31" ht="12.75">
      <c r="C4" s="59" t="s">
        <v>1</v>
      </c>
      <c r="D4" s="59" t="s">
        <v>2</v>
      </c>
      <c r="E4" s="60">
        <f>Interest!E4</f>
        <v>44651</v>
      </c>
      <c r="F4" s="60">
        <f>Interest!F4</f>
        <v>45016</v>
      </c>
      <c r="G4" s="60">
        <f>Interest!G4</f>
        <v>45382</v>
      </c>
      <c r="H4" s="60">
        <f>Interest!H4</f>
        <v>45747</v>
      </c>
      <c r="I4" s="60">
        <f>Interest!I4</f>
        <v>46112</v>
      </c>
      <c r="J4" s="60">
        <f>Interest!J4</f>
        <v>46477</v>
      </c>
      <c r="K4" s="60">
        <f>Interest!K4</f>
        <v>46843</v>
      </c>
      <c r="L4" s="60">
        <f>Interest!L4</f>
        <v>47208</v>
      </c>
      <c r="M4" s="60">
        <f>Interest!M4</f>
        <v>47573</v>
      </c>
      <c r="N4" s="60">
        <f>Interest!N4</f>
        <v>47938</v>
      </c>
      <c r="O4" s="60">
        <f>Interest!O4</f>
        <v>48304</v>
      </c>
      <c r="P4" s="60">
        <f>Interest!P4</f>
        <v>48669</v>
      </c>
      <c r="Q4" s="60">
        <f>Interest!Q4</f>
        <v>49034</v>
      </c>
      <c r="R4" s="60">
        <f>Interest!R4</f>
        <v>49399</v>
      </c>
      <c r="S4" s="60">
        <f>Interest!S4</f>
        <v>49765</v>
      </c>
      <c r="T4" s="60">
        <f>Interest!T4</f>
        <v>50130</v>
      </c>
      <c r="U4" s="60">
        <f>Interest!U4</f>
        <v>50495</v>
      </c>
      <c r="V4" s="60">
        <f>Interest!V4</f>
        <v>50860</v>
      </c>
      <c r="W4" s="60">
        <f>Interest!W4</f>
        <v>51226</v>
      </c>
      <c r="X4" s="60">
        <f>Interest!X4</f>
        <v>51591</v>
      </c>
      <c r="Y4" s="60">
        <f>Interest!Y4</f>
        <v>51956</v>
      </c>
      <c r="Z4" s="60">
        <f>Interest!Z4</f>
        <v>52321</v>
      </c>
      <c r="AA4" s="60">
        <f>Interest!AA4</f>
        <v>52687</v>
      </c>
      <c r="AB4" s="60">
        <f>Interest!AB4</f>
        <v>53052</v>
      </c>
      <c r="AC4" s="60">
        <f>Interest!AC4</f>
        <v>53417</v>
      </c>
      <c r="AD4" s="60">
        <f>Interest!AD4</f>
        <v>53782</v>
      </c>
      <c r="AE4" s="60">
        <f>Interest!AE4</f>
        <v>54148</v>
      </c>
    </row>
    <row r="5" spans="3:31" s="1" customFormat="1" ht="12.75">
      <c r="C5" s="20" t="s">
        <v>75</v>
      </c>
      <c r="D5" s="20" t="str">
        <f>Interest!D21</f>
        <v>Rs. Crores</v>
      </c>
      <c r="E5" s="28">
        <f>SUM(E6:E9)</f>
        <v>15.736701529464206</v>
      </c>
      <c r="F5" s="28">
        <f aca="true" t="shared" si="1" ref="F5:O5">SUM(F6:F9)</f>
        <v>46.2830894419642</v>
      </c>
      <c r="G5" s="28">
        <f t="shared" si="1"/>
        <v>53.2414219107142</v>
      </c>
      <c r="H5" s="28">
        <f t="shared" si="1"/>
        <v>53.2414219107142</v>
      </c>
      <c r="I5" s="28">
        <f t="shared" si="1"/>
        <v>53.2414219107142</v>
      </c>
      <c r="J5" s="28">
        <f t="shared" si="1"/>
        <v>55.3414219107142</v>
      </c>
      <c r="K5" s="28">
        <f t="shared" si="1"/>
        <v>55.3414219107142</v>
      </c>
      <c r="L5" s="28">
        <f t="shared" si="1"/>
        <v>55.3414219107142</v>
      </c>
      <c r="M5" s="28">
        <f t="shared" si="1"/>
        <v>58.8414219107142</v>
      </c>
      <c r="N5" s="28">
        <f t="shared" si="1"/>
        <v>58.8414219107142</v>
      </c>
      <c r="O5" s="28">
        <f t="shared" si="1"/>
        <v>58.9414219107142</v>
      </c>
      <c r="P5" s="28">
        <f>SUM(P6:P9)</f>
        <v>62.9414219107142</v>
      </c>
      <c r="Q5" s="28">
        <f>SUM(Q6:Q9)</f>
        <v>62.9414219107142</v>
      </c>
      <c r="R5" s="28">
        <f aca="true" t="shared" si="2" ref="R5:AE5">SUM(R6:R9)</f>
        <v>62.9414219107142</v>
      </c>
      <c r="S5" s="28">
        <f t="shared" si="2"/>
        <v>66.4414219107142</v>
      </c>
      <c r="T5" s="28">
        <f t="shared" si="2"/>
        <v>66.6914219107142</v>
      </c>
      <c r="U5" s="28">
        <f t="shared" si="2"/>
        <v>66.6914219107142</v>
      </c>
      <c r="V5" s="28">
        <f t="shared" si="2"/>
        <v>68.6914219107142</v>
      </c>
      <c r="W5" s="28">
        <f t="shared" si="2"/>
        <v>68.6914219107142</v>
      </c>
      <c r="X5" s="28">
        <f t="shared" si="2"/>
        <v>68.6914219107142</v>
      </c>
      <c r="Y5" s="28">
        <f t="shared" si="2"/>
        <v>74.2914219107142</v>
      </c>
      <c r="Z5" s="28">
        <f t="shared" si="2"/>
        <v>74.2914219107142</v>
      </c>
      <c r="AA5" s="28">
        <f t="shared" si="2"/>
        <v>74.2914219107142</v>
      </c>
      <c r="AB5" s="28">
        <f t="shared" si="2"/>
        <v>76.2914219107142</v>
      </c>
      <c r="AC5" s="28">
        <f t="shared" si="2"/>
        <v>76.2914219107142</v>
      </c>
      <c r="AD5" s="28">
        <f t="shared" si="2"/>
        <v>76.5414219107142</v>
      </c>
      <c r="AE5" s="28">
        <f t="shared" si="2"/>
        <v>76.5414219107142</v>
      </c>
    </row>
    <row r="6" spans="3:31" ht="12.75">
      <c r="C6" s="5" t="s">
        <v>203</v>
      </c>
      <c r="D6" s="5" t="str">
        <f>D5</f>
        <v>Rs. Crores</v>
      </c>
      <c r="E6" s="14">
        <f>Capex!E5</f>
        <v>2.658897035714206</v>
      </c>
      <c r="F6" s="14">
        <f>E6+Capex!F5</f>
        <v>2.658897035714206</v>
      </c>
      <c r="G6" s="14">
        <f>F6+Capex!G5</f>
        <v>2.658897035714206</v>
      </c>
      <c r="H6" s="14">
        <f>G6+Capex!H5</f>
        <v>2.658897035714206</v>
      </c>
      <c r="I6" s="14">
        <f>H6+Capex!I5</f>
        <v>2.658897035714206</v>
      </c>
      <c r="J6" s="14">
        <f>I6+Capex!J5</f>
        <v>2.658897035714206</v>
      </c>
      <c r="K6" s="14">
        <f>J6+Capex!K5</f>
        <v>2.658897035714206</v>
      </c>
      <c r="L6" s="14">
        <f>K6+Capex!L5</f>
        <v>2.658897035714206</v>
      </c>
      <c r="M6" s="14">
        <f>L6+Capex!M5</f>
        <v>2.658897035714206</v>
      </c>
      <c r="N6" s="14">
        <f>M6+Capex!N5</f>
        <v>2.658897035714206</v>
      </c>
      <c r="O6" s="14">
        <f>N6+Capex!O5</f>
        <v>2.658897035714206</v>
      </c>
      <c r="P6" s="14">
        <f>O6+Capex!P5</f>
        <v>2.658897035714206</v>
      </c>
      <c r="Q6" s="14">
        <f>P6+Capex!Q5</f>
        <v>2.658897035714206</v>
      </c>
      <c r="R6" s="14">
        <f>Q6+Capex!R5</f>
        <v>2.658897035714206</v>
      </c>
      <c r="S6" s="14">
        <f>R6+Capex!S5</f>
        <v>2.658897035714206</v>
      </c>
      <c r="T6" s="14">
        <f>S6+Capex!T5</f>
        <v>2.658897035714206</v>
      </c>
      <c r="U6" s="14">
        <f>T6+Capex!U5</f>
        <v>2.658897035714206</v>
      </c>
      <c r="V6" s="14">
        <f>U6+Capex!V5</f>
        <v>2.658897035714206</v>
      </c>
      <c r="W6" s="14">
        <f>V6+Capex!W5</f>
        <v>2.658897035714206</v>
      </c>
      <c r="X6" s="14">
        <f>W6+Capex!X5</f>
        <v>2.658897035714206</v>
      </c>
      <c r="Y6" s="14">
        <f>X6+Capex!Y5</f>
        <v>2.658897035714206</v>
      </c>
      <c r="Z6" s="14">
        <f>Y6+Capex!Z5</f>
        <v>2.658897035714206</v>
      </c>
      <c r="AA6" s="14">
        <f>Z6+Capex!AA5</f>
        <v>2.658897035714206</v>
      </c>
      <c r="AB6" s="14">
        <f>AA6+Capex!AB5</f>
        <v>2.658897035714206</v>
      </c>
      <c r="AC6" s="14">
        <f>AB6+Capex!AC5</f>
        <v>2.658897035714206</v>
      </c>
      <c r="AD6" s="14">
        <f>AC6+Capex!AD5</f>
        <v>2.658897035714206</v>
      </c>
      <c r="AE6" s="14">
        <f>AD6+Capex!AE5</f>
        <v>2.658897035714206</v>
      </c>
    </row>
    <row r="7" spans="3:31" ht="12.75">
      <c r="C7" s="5" t="s">
        <v>43</v>
      </c>
      <c r="D7" s="5" t="str">
        <f>D6</f>
        <v>Rs. Crores</v>
      </c>
      <c r="E7" s="14">
        <f>Capex!E6+E62</f>
        <v>1.6047705</v>
      </c>
      <c r="F7" s="14">
        <f>Capex!F6+F62+E7</f>
        <v>8.0238525</v>
      </c>
      <c r="G7" s="14">
        <f>Capex!G6+G62+F7</f>
        <v>10.69847</v>
      </c>
      <c r="H7" s="14">
        <f>Capex!H6+H62+G7</f>
        <v>10.69847</v>
      </c>
      <c r="I7" s="14">
        <f>Capex!I6+I62+H7</f>
        <v>10.69847</v>
      </c>
      <c r="J7" s="14">
        <f>Capex!J6+J62+I7</f>
        <v>10.69847</v>
      </c>
      <c r="K7" s="14">
        <f>Capex!K6+K62+J7</f>
        <v>10.69847</v>
      </c>
      <c r="L7" s="14">
        <f>Capex!L6+L62+K7</f>
        <v>10.69847</v>
      </c>
      <c r="M7" s="14">
        <f>Capex!M6+M62+L7</f>
        <v>10.69847</v>
      </c>
      <c r="N7" s="14">
        <f>Capex!N6+N62+M7</f>
        <v>10.69847</v>
      </c>
      <c r="O7" s="14">
        <f>Capex!O6+O62+N7</f>
        <v>10.69847</v>
      </c>
      <c r="P7" s="14">
        <f>Capex!P6+P62+O7</f>
        <v>12.69847</v>
      </c>
      <c r="Q7" s="14">
        <f>Capex!Q6+Q62+P7</f>
        <v>12.69847</v>
      </c>
      <c r="R7" s="14">
        <f>Capex!R6+R62+Q7</f>
        <v>12.69847</v>
      </c>
      <c r="S7" s="14">
        <f>Capex!S6+S62+R7</f>
        <v>12.69847</v>
      </c>
      <c r="T7" s="14">
        <f>Capex!T6+T62+S7</f>
        <v>12.69847</v>
      </c>
      <c r="U7" s="14">
        <f>Capex!U6+U62+T7</f>
        <v>12.69847</v>
      </c>
      <c r="V7" s="14">
        <f>Capex!V6+V62+U7</f>
        <v>12.69847</v>
      </c>
      <c r="W7" s="14">
        <f>Capex!W6+W62+V7</f>
        <v>12.69847</v>
      </c>
      <c r="X7" s="14">
        <f>Capex!X6+X62+W7</f>
        <v>12.69847</v>
      </c>
      <c r="Y7" s="14">
        <f>Capex!Y6+Y62+X7</f>
        <v>14.69847</v>
      </c>
      <c r="Z7" s="14">
        <f>Capex!Z6+Z62+Y7</f>
        <v>14.69847</v>
      </c>
      <c r="AA7" s="14">
        <f>Capex!AA6+AA62+Z7</f>
        <v>14.69847</v>
      </c>
      <c r="AB7" s="14">
        <f>Capex!AB6+AB62+AA7</f>
        <v>14.69847</v>
      </c>
      <c r="AC7" s="14">
        <f>Capex!AC6+AC62+AB7</f>
        <v>14.69847</v>
      </c>
      <c r="AD7" s="14">
        <f>Capex!AD6+AD62+AC7</f>
        <v>14.69847</v>
      </c>
      <c r="AE7" s="14">
        <f>Capex!AE6+AE62+AD7</f>
        <v>14.69847</v>
      </c>
    </row>
    <row r="8" spans="3:31" ht="12.75">
      <c r="C8" s="5" t="s">
        <v>44</v>
      </c>
      <c r="D8" s="5" t="str">
        <f>D7</f>
        <v>Rs. Crores</v>
      </c>
      <c r="E8" s="14">
        <f>Capex!E7+E63</f>
        <v>11.374597499999998</v>
      </c>
      <c r="F8" s="14">
        <f>Capex!F7+F63+E8</f>
        <v>34.12379249999999</v>
      </c>
      <c r="G8" s="14">
        <f>Capex!G7+G63+F8</f>
        <v>37.915324999999996</v>
      </c>
      <c r="H8" s="14">
        <f>Capex!H7+H63+G8</f>
        <v>37.915324999999996</v>
      </c>
      <c r="I8" s="14">
        <f>Capex!I7+I63+H8</f>
        <v>37.915324999999996</v>
      </c>
      <c r="J8" s="14">
        <f>Capex!J7+J63+I8</f>
        <v>39.915324999999996</v>
      </c>
      <c r="K8" s="14">
        <f>Capex!K7+K63+J8</f>
        <v>39.915324999999996</v>
      </c>
      <c r="L8" s="14">
        <f>Capex!L7+L63+K8</f>
        <v>39.915324999999996</v>
      </c>
      <c r="M8" s="14">
        <f>Capex!M7+M63+L8</f>
        <v>43.415324999999996</v>
      </c>
      <c r="N8" s="14">
        <f>Capex!N7+N63+M8</f>
        <v>43.415324999999996</v>
      </c>
      <c r="O8" s="14">
        <f>Capex!O7+O63+N8</f>
        <v>43.415324999999996</v>
      </c>
      <c r="P8" s="14">
        <f>Capex!P7+P63+O8</f>
        <v>45.415324999999996</v>
      </c>
      <c r="Q8" s="14">
        <f>Capex!Q7+Q63+P8</f>
        <v>45.415324999999996</v>
      </c>
      <c r="R8" s="14">
        <f>Capex!R7+R63+Q8</f>
        <v>45.415324999999996</v>
      </c>
      <c r="S8" s="14">
        <f>Capex!S7+S63+R8</f>
        <v>48.915324999999996</v>
      </c>
      <c r="T8" s="14">
        <f>Capex!T7+T63+S8</f>
        <v>48.915324999999996</v>
      </c>
      <c r="U8" s="14">
        <f>Capex!U7+U63+T8</f>
        <v>48.915324999999996</v>
      </c>
      <c r="V8" s="14">
        <f>Capex!V7+V63+U8</f>
        <v>50.915324999999996</v>
      </c>
      <c r="W8" s="14">
        <f>Capex!W7+W63+V8</f>
        <v>50.915324999999996</v>
      </c>
      <c r="X8" s="14">
        <f>Capex!X7+X63+W8</f>
        <v>50.915324999999996</v>
      </c>
      <c r="Y8" s="14">
        <f>Capex!Y7+Y63+X8</f>
        <v>54.415324999999996</v>
      </c>
      <c r="Z8" s="14">
        <f>Capex!Z7+Z63+Y8</f>
        <v>54.415324999999996</v>
      </c>
      <c r="AA8" s="14">
        <f>Capex!AA7+AA63+Z8</f>
        <v>54.415324999999996</v>
      </c>
      <c r="AB8" s="14">
        <f>Capex!AB7+AB63+AA8</f>
        <v>56.415324999999996</v>
      </c>
      <c r="AC8" s="14">
        <f>Capex!AC7+AC63+AB8</f>
        <v>56.415324999999996</v>
      </c>
      <c r="AD8" s="14">
        <f>Capex!AD7+AD63+AC8</f>
        <v>56.415324999999996</v>
      </c>
      <c r="AE8" s="14">
        <f>Capex!AE7+AE63+AD8</f>
        <v>56.415324999999996</v>
      </c>
    </row>
    <row r="9" spans="3:31" ht="12.75">
      <c r="C9" s="5" t="s">
        <v>45</v>
      </c>
      <c r="D9" s="5" t="str">
        <f>D8</f>
        <v>Rs. Crores</v>
      </c>
      <c r="E9" s="14">
        <f>Capex!E8+E64</f>
        <v>0.09843649375</v>
      </c>
      <c r="F9" s="14">
        <f>Capex!F8+F64+E9</f>
        <v>1.47654740625</v>
      </c>
      <c r="G9" s="14">
        <f>Capex!G8+G64+F9</f>
        <v>1.968729875</v>
      </c>
      <c r="H9" s="14">
        <f>Capex!H8+H64+G9</f>
        <v>1.968729875</v>
      </c>
      <c r="I9" s="14">
        <f>Capex!I8+I64+H9</f>
        <v>1.968729875</v>
      </c>
      <c r="J9" s="14">
        <f>Capex!J8+J64+I9</f>
        <v>2.068729875</v>
      </c>
      <c r="K9" s="14">
        <f>Capex!K8+K64+J9</f>
        <v>2.068729875</v>
      </c>
      <c r="L9" s="14">
        <f>Capex!L8+L64+K9</f>
        <v>2.068729875</v>
      </c>
      <c r="M9" s="14">
        <f>Capex!M8+M64+L9</f>
        <v>2.068729875</v>
      </c>
      <c r="N9" s="14">
        <f>Capex!N8+N64+M9</f>
        <v>2.068729875</v>
      </c>
      <c r="O9" s="14">
        <f>Capex!O8+O64+N9</f>
        <v>2.168729875</v>
      </c>
      <c r="P9" s="14">
        <f>Capex!P8+P64+O9</f>
        <v>2.168729875</v>
      </c>
      <c r="Q9" s="14">
        <f>Capex!Q8+Q64+P9</f>
        <v>2.168729875</v>
      </c>
      <c r="R9" s="14">
        <f>Capex!R8+R64+Q9</f>
        <v>2.168729875</v>
      </c>
      <c r="S9" s="14">
        <f>Capex!S8+S64+R9</f>
        <v>2.168729875</v>
      </c>
      <c r="T9" s="14">
        <f>Capex!T8+T64+S9</f>
        <v>2.418729875</v>
      </c>
      <c r="U9" s="14">
        <f>Capex!U8+U64+T9</f>
        <v>2.418729875</v>
      </c>
      <c r="V9" s="14">
        <f>Capex!V8+V64+U9</f>
        <v>2.418729875</v>
      </c>
      <c r="W9" s="14">
        <f>Capex!W8+W64+V9</f>
        <v>2.418729875</v>
      </c>
      <c r="X9" s="14">
        <f>Capex!X8+X64+W9</f>
        <v>2.418729875</v>
      </c>
      <c r="Y9" s="14">
        <f>Capex!Y8+Y64+X9</f>
        <v>2.518729875</v>
      </c>
      <c r="Z9" s="14">
        <f>Capex!Z8+Z64+Y9</f>
        <v>2.518729875</v>
      </c>
      <c r="AA9" s="14">
        <f>Capex!AA8+AA64+Z9</f>
        <v>2.518729875</v>
      </c>
      <c r="AB9" s="14">
        <f>Capex!AB8+AB64+AA9</f>
        <v>2.518729875</v>
      </c>
      <c r="AC9" s="14">
        <f>Capex!AC8+AC64+AB9</f>
        <v>2.518729875</v>
      </c>
      <c r="AD9" s="14">
        <f>Capex!AD8+AD64+AC9</f>
        <v>2.768729875</v>
      </c>
      <c r="AE9" s="14">
        <f>Capex!AE8+AE64+AD9</f>
        <v>2.768729875</v>
      </c>
    </row>
    <row r="10" spans="3:31" ht="12.75">
      <c r="C10" s="20" t="s">
        <v>76</v>
      </c>
      <c r="D10" s="20" t="str">
        <f>D9</f>
        <v>Rs. Crores</v>
      </c>
      <c r="E10" s="28">
        <f>SUM(E11:E14)</f>
        <v>0</v>
      </c>
      <c r="F10" s="28">
        <f>SUM(F11:F14)</f>
        <v>0</v>
      </c>
      <c r="G10" s="28">
        <f>SUM(G11:G14)</f>
        <v>2.0233009949999996</v>
      </c>
      <c r="H10" s="28">
        <f>SUM(H11:H14)</f>
        <v>2.0233009949999996</v>
      </c>
      <c r="I10" s="28">
        <f>SUM(I11:I14)</f>
        <v>2.0233009949999996</v>
      </c>
      <c r="J10" s="28">
        <f>SUM(J11:J14)</f>
        <v>2.1073009949999997</v>
      </c>
      <c r="K10" s="28">
        <f>SUM(K11:K14)</f>
        <v>2.1073009949999997</v>
      </c>
      <c r="L10" s="28">
        <f>SUM(L11:L14)</f>
        <v>2.1073009949999997</v>
      </c>
      <c r="M10" s="28">
        <f>SUM(M11:M14)</f>
        <v>2.247300995</v>
      </c>
      <c r="N10" s="28">
        <f>SUM(N11:N14)</f>
        <v>2.247300995</v>
      </c>
      <c r="O10" s="28">
        <f>SUM(O11:O14)</f>
        <v>2.251300995</v>
      </c>
      <c r="P10" s="28">
        <f>SUM(P11:P14)</f>
        <v>2.411300995</v>
      </c>
      <c r="Q10" s="28">
        <f>SUM(Q11:Q14)</f>
        <v>2.411300995</v>
      </c>
      <c r="R10" s="28">
        <f aca="true" t="shared" si="3" ref="R10:AE10">SUM(R11:R14)</f>
        <v>2.411300995</v>
      </c>
      <c r="S10" s="28">
        <f t="shared" si="3"/>
        <v>2.5513009949999996</v>
      </c>
      <c r="T10" s="28">
        <f t="shared" si="3"/>
        <v>2.561300995</v>
      </c>
      <c r="U10" s="28">
        <f t="shared" si="3"/>
        <v>2.561300995</v>
      </c>
      <c r="V10" s="28">
        <f t="shared" si="3"/>
        <v>2.641300995</v>
      </c>
      <c r="W10" s="28">
        <f t="shared" si="3"/>
        <v>2.641300995</v>
      </c>
      <c r="X10" s="28">
        <f t="shared" si="3"/>
        <v>2.641300995</v>
      </c>
      <c r="Y10" s="28">
        <f t="shared" si="3"/>
        <v>2.8653009949999997</v>
      </c>
      <c r="Z10" s="28">
        <f t="shared" si="3"/>
        <v>2.8653009949999997</v>
      </c>
      <c r="AA10" s="28">
        <f t="shared" si="3"/>
        <v>2.8653009949999997</v>
      </c>
      <c r="AB10" s="28">
        <f t="shared" si="3"/>
        <v>2.9453009949999998</v>
      </c>
      <c r="AC10" s="28">
        <f t="shared" si="3"/>
        <v>2.9453009949999998</v>
      </c>
      <c r="AD10" s="28">
        <f t="shared" si="3"/>
        <v>2.9553009949999995</v>
      </c>
      <c r="AE10" s="28">
        <f t="shared" si="3"/>
        <v>2.9553009949999995</v>
      </c>
    </row>
    <row r="11" spans="3:31" ht="12.75">
      <c r="C11" s="5" t="s">
        <v>203</v>
      </c>
      <c r="D11" s="5" t="str">
        <f>D10</f>
        <v>Rs. Crores</v>
      </c>
      <c r="E11" s="14"/>
      <c r="F11" s="32">
        <f>F6*Input!$E$120*F3/365</f>
        <v>0</v>
      </c>
      <c r="G11" s="14">
        <f>G6*Input!$E$120*G3/365</f>
        <v>0</v>
      </c>
      <c r="H11" s="14">
        <f>H6*Input!$E$120*H3/365</f>
        <v>0</v>
      </c>
      <c r="I11" s="14">
        <f>I6*Input!$E$120*I3/365</f>
        <v>0</v>
      </c>
      <c r="J11" s="14">
        <f>J6*Input!$E$120*J3/365</f>
        <v>0</v>
      </c>
      <c r="K11" s="14">
        <f>K6*Input!$E$120*K3/365</f>
        <v>0</v>
      </c>
      <c r="L11" s="14">
        <f>L6*Input!$E$120*L3/365</f>
        <v>0</v>
      </c>
      <c r="M11" s="14">
        <f>M6*Input!$E$120*M3/365</f>
        <v>0</v>
      </c>
      <c r="N11" s="14">
        <f>N6*Input!$E$120*N3/365</f>
        <v>0</v>
      </c>
      <c r="O11" s="14">
        <f>O6*Input!$E$120*O3/365</f>
        <v>0</v>
      </c>
      <c r="P11" s="14">
        <f>P6*Input!$E$120*P3/365</f>
        <v>0</v>
      </c>
      <c r="Q11" s="14">
        <f>Q6*Input!$E$120*Q3/365</f>
        <v>0</v>
      </c>
      <c r="R11" s="14">
        <f>R6*Input!$E$120*R3/365</f>
        <v>0</v>
      </c>
      <c r="S11" s="14">
        <f>S6*Input!$E$120*S3/365</f>
        <v>0</v>
      </c>
      <c r="T11" s="14">
        <f>T6*Input!$E$120*T3/365</f>
        <v>0</v>
      </c>
      <c r="U11" s="14">
        <f>U6*Input!$E$120*U3/365</f>
        <v>0</v>
      </c>
      <c r="V11" s="14">
        <f>V6*Input!$E$120*V3/365</f>
        <v>0</v>
      </c>
      <c r="W11" s="14">
        <f>W6*Input!$E$120*W3/365</f>
        <v>0</v>
      </c>
      <c r="X11" s="14">
        <f>X6*Input!$E$120*X3/365</f>
        <v>0</v>
      </c>
      <c r="Y11" s="14">
        <f>Y6*Input!$E$120*Y3/365</f>
        <v>0</v>
      </c>
      <c r="Z11" s="14">
        <f>Z6*Input!$E$120*Z3/365</f>
        <v>0</v>
      </c>
      <c r="AA11" s="14">
        <f>AA6*Input!$E$120*AA3/365</f>
        <v>0</v>
      </c>
      <c r="AB11" s="14">
        <f>AB6*Input!$E$120*AB3/365</f>
        <v>0</v>
      </c>
      <c r="AC11" s="14">
        <f>AC6*Input!$E$120*AC3/365</f>
        <v>0</v>
      </c>
      <c r="AD11" s="14">
        <f>AD6*Input!$E$120*AD3/365</f>
        <v>0</v>
      </c>
      <c r="AE11" s="14">
        <f>AE6*Input!$E$120*AE3/365</f>
        <v>0</v>
      </c>
    </row>
    <row r="12" spans="3:31" ht="12.75">
      <c r="C12" s="5" t="s">
        <v>43</v>
      </c>
      <c r="D12" s="5" t="str">
        <f>D11</f>
        <v>Rs. Crores</v>
      </c>
      <c r="E12" s="14"/>
      <c r="F12" s="32">
        <f>F7*Input!$E$121*F3/365</f>
        <v>0</v>
      </c>
      <c r="G12" s="14">
        <f>G7*Input!$E$121*G3/365</f>
        <v>0.4279388</v>
      </c>
      <c r="H12" s="14">
        <f>H7*Input!$E$121*H3/365</f>
        <v>0.4279388</v>
      </c>
      <c r="I12" s="14">
        <f>I7*Input!$E$121*I3/365</f>
        <v>0.4279388</v>
      </c>
      <c r="J12" s="14">
        <f>J7*Input!$E$121*J3/365</f>
        <v>0.4279388</v>
      </c>
      <c r="K12" s="14">
        <f>K7*Input!$E$121*K3/365</f>
        <v>0.4279388</v>
      </c>
      <c r="L12" s="14">
        <f>L7*Input!$E$121*L3/365</f>
        <v>0.4279388</v>
      </c>
      <c r="M12" s="14">
        <f>M7*Input!$E$121*M3/365</f>
        <v>0.4279388</v>
      </c>
      <c r="N12" s="14">
        <f>N7*Input!$E$121*N3/365</f>
        <v>0.4279388</v>
      </c>
      <c r="O12" s="14">
        <f>O7*Input!$E$121*O3/365</f>
        <v>0.4279388</v>
      </c>
      <c r="P12" s="14">
        <f>P7*Input!$E$121*P3/365</f>
        <v>0.5079388</v>
      </c>
      <c r="Q12" s="14">
        <f>Q7*Input!$E$121*Q3/365</f>
        <v>0.5079388</v>
      </c>
      <c r="R12" s="14">
        <f>R7*Input!$E$121*R3/365</f>
        <v>0.5079388</v>
      </c>
      <c r="S12" s="14">
        <f>S7*Input!$E$121*S3/365</f>
        <v>0.5079388</v>
      </c>
      <c r="T12" s="14">
        <f>T7*Input!$E$121*T3/365</f>
        <v>0.5079388</v>
      </c>
      <c r="U12" s="14">
        <f>U7*Input!$E$121*U3/365</f>
        <v>0.5079388</v>
      </c>
      <c r="V12" s="14">
        <f>V7*Input!$E$121*V3/365</f>
        <v>0.5079388</v>
      </c>
      <c r="W12" s="14">
        <f>W7*Input!$E$121*W3/365</f>
        <v>0.5079388</v>
      </c>
      <c r="X12" s="14">
        <f>X7*Input!$E$121*X3/365</f>
        <v>0.5079388</v>
      </c>
      <c r="Y12" s="14">
        <f>Y7*Input!$E$121*Y3/365</f>
        <v>0.5879388</v>
      </c>
      <c r="Z12" s="14">
        <f>Z7*Input!$E$121*Z3/365</f>
        <v>0.5879388</v>
      </c>
      <c r="AA12" s="14">
        <f>AA7*Input!$E$121*AA3/365</f>
        <v>0.5879388</v>
      </c>
      <c r="AB12" s="14">
        <f>AB7*Input!$E$121*AB3/365</f>
        <v>0.5879388</v>
      </c>
      <c r="AC12" s="14">
        <f>AC7*Input!$E$121*AC3/365</f>
        <v>0.5879388</v>
      </c>
      <c r="AD12" s="14">
        <f>AD7*Input!$E$121*AD3/365</f>
        <v>0.5879388</v>
      </c>
      <c r="AE12" s="14">
        <f>AE7*Input!$E$121*AE3/365</f>
        <v>0.5879388</v>
      </c>
    </row>
    <row r="13" spans="3:31" ht="12.75">
      <c r="C13" s="5" t="s">
        <v>44</v>
      </c>
      <c r="D13" s="5" t="str">
        <f>D12</f>
        <v>Rs. Crores</v>
      </c>
      <c r="E13" s="14"/>
      <c r="F13" s="32">
        <f>F8*Input!$E$122*F3/365</f>
        <v>0</v>
      </c>
      <c r="G13" s="14">
        <f>G8*Input!$E$122*G3/365</f>
        <v>1.5166129999999998</v>
      </c>
      <c r="H13" s="14">
        <f>H8*Input!$E$122*H3/365</f>
        <v>1.5166129999999998</v>
      </c>
      <c r="I13" s="14">
        <f>I8*Input!$E$122*I3/365</f>
        <v>1.5166129999999998</v>
      </c>
      <c r="J13" s="14">
        <f>J8*Input!$E$122*J3/365</f>
        <v>1.5966129999999998</v>
      </c>
      <c r="K13" s="14">
        <f>K8*Input!$E$122*K3/365</f>
        <v>1.5966129999999998</v>
      </c>
      <c r="L13" s="14">
        <f>L8*Input!$E$122*L3/365</f>
        <v>1.5966129999999998</v>
      </c>
      <c r="M13" s="14">
        <f>M8*Input!$E$122*M3/365</f>
        <v>1.736613</v>
      </c>
      <c r="N13" s="14">
        <f>N8*Input!$E$122*N3/365</f>
        <v>1.736613</v>
      </c>
      <c r="O13" s="14">
        <f>O8*Input!$E$122*O3/365</f>
        <v>1.736613</v>
      </c>
      <c r="P13" s="14">
        <f>P8*Input!$E$122*P3/365</f>
        <v>1.8166129999999998</v>
      </c>
      <c r="Q13" s="14">
        <f>Q8*Input!$E$122*Q3/365</f>
        <v>1.8166129999999998</v>
      </c>
      <c r="R13" s="14">
        <f>R8*Input!$E$122*R3/365</f>
        <v>1.8166129999999998</v>
      </c>
      <c r="S13" s="14">
        <f>S8*Input!$E$122*S3/365</f>
        <v>1.956613</v>
      </c>
      <c r="T13" s="14">
        <f>T8*Input!$E$122*T3/365</f>
        <v>1.956613</v>
      </c>
      <c r="U13" s="14">
        <f>U8*Input!$E$122*U3/365</f>
        <v>1.956613</v>
      </c>
      <c r="V13" s="14">
        <f>V8*Input!$E$122*V3/365</f>
        <v>2.036613</v>
      </c>
      <c r="W13" s="14">
        <f>W8*Input!$E$122*W3/365</f>
        <v>2.036613</v>
      </c>
      <c r="X13" s="14">
        <f>X8*Input!$E$122*X3/365</f>
        <v>2.036613</v>
      </c>
      <c r="Y13" s="14">
        <f>Y8*Input!$E$122*Y3/365</f>
        <v>2.1766129999999997</v>
      </c>
      <c r="Z13" s="14">
        <f>Z8*Input!$E$122*Z3/365</f>
        <v>2.1766129999999997</v>
      </c>
      <c r="AA13" s="14">
        <f>AA8*Input!$E$122*AA3/365</f>
        <v>2.1766129999999997</v>
      </c>
      <c r="AB13" s="14">
        <f>AB8*Input!$E$122*AB3/365</f>
        <v>2.2566129999999998</v>
      </c>
      <c r="AC13" s="14">
        <f>AC8*Input!$E$122*AC3/365</f>
        <v>2.2566129999999998</v>
      </c>
      <c r="AD13" s="14">
        <f>AD8*Input!$E$122*AD3/365</f>
        <v>2.2566129999999998</v>
      </c>
      <c r="AE13" s="14">
        <f>AE8*Input!$E$122*AE3/365</f>
        <v>2.2566129999999998</v>
      </c>
    </row>
    <row r="14" spans="3:31" ht="12.75">
      <c r="C14" s="5" t="s">
        <v>45</v>
      </c>
      <c r="D14" s="5" t="str">
        <f>D13</f>
        <v>Rs. Crores</v>
      </c>
      <c r="E14" s="14"/>
      <c r="F14" s="32">
        <f>F9*Input!$E$123*F3/365</f>
        <v>0</v>
      </c>
      <c r="G14" s="14">
        <f>G9*Input!$E$123*G3/365</f>
        <v>0.078749195</v>
      </c>
      <c r="H14" s="14">
        <f>H9*Input!$E$123*H3/365</f>
        <v>0.078749195</v>
      </c>
      <c r="I14" s="14">
        <f>I9*Input!$E$123*I3/365</f>
        <v>0.078749195</v>
      </c>
      <c r="J14" s="14">
        <f>J9*Input!$E$123*J3/365</f>
        <v>0.082749195</v>
      </c>
      <c r="K14" s="14">
        <f>K9*Input!$E$123*K3/365</f>
        <v>0.082749195</v>
      </c>
      <c r="L14" s="14">
        <f>L9*Input!$E$123*L3/365</f>
        <v>0.082749195</v>
      </c>
      <c r="M14" s="14">
        <f>M9*Input!$E$123*M3/365</f>
        <v>0.082749195</v>
      </c>
      <c r="N14" s="14">
        <f>N9*Input!$E$123*N3/365</f>
        <v>0.082749195</v>
      </c>
      <c r="O14" s="14">
        <f>O9*Input!$E$123*O3/365</f>
        <v>0.086749195</v>
      </c>
      <c r="P14" s="14">
        <f>P9*Input!$E$123*P3/365</f>
        <v>0.086749195</v>
      </c>
      <c r="Q14" s="14">
        <f>Q9*Input!$E$123*Q3/365</f>
        <v>0.086749195</v>
      </c>
      <c r="R14" s="14">
        <f>R9*Input!$E$123*R3/365</f>
        <v>0.086749195</v>
      </c>
      <c r="S14" s="14">
        <f>S9*Input!$E$123*S3/365</f>
        <v>0.086749195</v>
      </c>
      <c r="T14" s="14">
        <f>T9*Input!$E$123*T3/365</f>
        <v>0.096749195</v>
      </c>
      <c r="U14" s="14">
        <f>U9*Input!$E$123*U3/365</f>
        <v>0.096749195</v>
      </c>
      <c r="V14" s="14">
        <f>V9*Input!$E$123*V3/365</f>
        <v>0.096749195</v>
      </c>
      <c r="W14" s="14">
        <f>W9*Input!$E$123*W3/365</f>
        <v>0.096749195</v>
      </c>
      <c r="X14" s="14">
        <f>X9*Input!$E$123*X3/365</f>
        <v>0.096749195</v>
      </c>
      <c r="Y14" s="14">
        <f>Y9*Input!$E$123*Y3/365</f>
        <v>0.100749195</v>
      </c>
      <c r="Z14" s="14">
        <f>Z9*Input!$E$123*Z3/365</f>
        <v>0.100749195</v>
      </c>
      <c r="AA14" s="14">
        <f>AA9*Input!$E$123*AA3/365</f>
        <v>0.100749195</v>
      </c>
      <c r="AB14" s="14">
        <f>AB9*Input!$E$123*AB3/365</f>
        <v>0.100749195</v>
      </c>
      <c r="AC14" s="14">
        <f>AC9*Input!$E$123*AC3/365</f>
        <v>0.100749195</v>
      </c>
      <c r="AD14" s="14">
        <f>AD9*Input!$E$123*AD3/365</f>
        <v>0.11074919500000001</v>
      </c>
      <c r="AE14" s="14">
        <f>AE9*Input!$E$123*AE3/365</f>
        <v>0.11074919500000001</v>
      </c>
    </row>
    <row r="15" spans="3:31" ht="12.75">
      <c r="C15" s="20" t="s">
        <v>77</v>
      </c>
      <c r="D15" s="20" t="str">
        <f>D14</f>
        <v>Rs. Crores</v>
      </c>
      <c r="E15" s="28">
        <f>SUM(E16:E19)</f>
        <v>0</v>
      </c>
      <c r="F15" s="38">
        <f>SUM(F16:F19)</f>
        <v>0</v>
      </c>
      <c r="G15" s="28">
        <f>SUM(G16:G19)</f>
        <v>2.0233009949999996</v>
      </c>
      <c r="H15" s="28">
        <f>SUM(H16:H19)</f>
        <v>4.046601989999999</v>
      </c>
      <c r="I15" s="28">
        <f>SUM(I16:I19)</f>
        <v>6.069902985</v>
      </c>
      <c r="J15" s="28">
        <f>SUM(J16:J19)</f>
        <v>8.177203979999998</v>
      </c>
      <c r="K15" s="28">
        <f>SUM(K16:K19)</f>
        <v>10.284504974999999</v>
      </c>
      <c r="L15" s="28">
        <f>SUM(L16:L19)</f>
        <v>12.39180597</v>
      </c>
      <c r="M15" s="28">
        <f>SUM(M16:M19)</f>
        <v>14.639106965</v>
      </c>
      <c r="N15" s="28">
        <f>SUM(N16:N19)</f>
        <v>16.88640796</v>
      </c>
      <c r="O15" s="28">
        <f>SUM(O16:O19)</f>
        <v>19.137708955</v>
      </c>
      <c r="P15" s="28">
        <f>SUM(P16:P19)</f>
        <v>21.549009950000002</v>
      </c>
      <c r="Q15" s="28">
        <f>SUM(Q16:Q19)</f>
        <v>23.960310945</v>
      </c>
      <c r="R15" s="28">
        <f aca="true" t="shared" si="4" ref="R15:AE15">SUM(R16:R19)</f>
        <v>26.371611939999998</v>
      </c>
      <c r="S15" s="28">
        <f t="shared" si="4"/>
        <v>28.922912935</v>
      </c>
      <c r="T15" s="28">
        <f t="shared" si="4"/>
        <v>31.484213930000003</v>
      </c>
      <c r="U15" s="28">
        <f t="shared" si="4"/>
        <v>34.045514925</v>
      </c>
      <c r="V15" s="28">
        <f t="shared" si="4"/>
        <v>36.68681592</v>
      </c>
      <c r="W15" s="28">
        <f t="shared" si="4"/>
        <v>39.328116914999995</v>
      </c>
      <c r="X15" s="28">
        <f t="shared" si="4"/>
        <v>41.96941791</v>
      </c>
      <c r="Y15" s="28">
        <f t="shared" si="4"/>
        <v>44.834718904999995</v>
      </c>
      <c r="Z15" s="28">
        <f t="shared" si="4"/>
        <v>47.70001990000001</v>
      </c>
      <c r="AA15" s="28">
        <f t="shared" si="4"/>
        <v>50.565320895000006</v>
      </c>
      <c r="AB15" s="28">
        <f t="shared" si="4"/>
        <v>53.51062189000001</v>
      </c>
      <c r="AC15" s="28">
        <f t="shared" si="4"/>
        <v>56.45592288500001</v>
      </c>
      <c r="AD15" s="28">
        <f t="shared" si="4"/>
        <v>59.41122388000001</v>
      </c>
      <c r="AE15" s="28">
        <f t="shared" si="4"/>
        <v>62.36652487500001</v>
      </c>
    </row>
    <row r="16" spans="3:31" ht="12.75">
      <c r="C16" s="5" t="s">
        <v>203</v>
      </c>
      <c r="D16" s="5" t="str">
        <f>D15</f>
        <v>Rs. Crores</v>
      </c>
      <c r="E16" s="14">
        <f>E11</f>
        <v>0</v>
      </c>
      <c r="F16" s="32">
        <f>E16+F11</f>
        <v>0</v>
      </c>
      <c r="G16" s="14">
        <f aca="true" t="shared" si="5" ref="G16:P16">F16+G11</f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</v>
      </c>
      <c r="O16" s="14">
        <f t="shared" si="5"/>
        <v>0</v>
      </c>
      <c r="P16" s="14">
        <f t="shared" si="5"/>
        <v>0</v>
      </c>
      <c r="Q16" s="14">
        <f>P16+Q11</f>
        <v>0</v>
      </c>
      <c r="R16" s="14">
        <f>Q16+R11</f>
        <v>0</v>
      </c>
      <c r="S16" s="14">
        <f>R16+S11</f>
        <v>0</v>
      </c>
      <c r="T16" s="14">
        <f>S16+T11</f>
        <v>0</v>
      </c>
      <c r="U16" s="14">
        <f>T16+U11</f>
        <v>0</v>
      </c>
      <c r="V16" s="14">
        <f>U16+V11</f>
        <v>0</v>
      </c>
      <c r="W16" s="14">
        <f>V16+W11</f>
        <v>0</v>
      </c>
      <c r="X16" s="14">
        <f>W16+X11</f>
        <v>0</v>
      </c>
      <c r="Y16" s="14">
        <f>X16+Y11</f>
        <v>0</v>
      </c>
      <c r="Z16" s="14">
        <f>Y16+Z11</f>
        <v>0</v>
      </c>
      <c r="AA16" s="14">
        <f>Z16+AA11</f>
        <v>0</v>
      </c>
      <c r="AB16" s="14">
        <f>AA16+AB11</f>
        <v>0</v>
      </c>
      <c r="AC16" s="14">
        <f>AB16+AC11</f>
        <v>0</v>
      </c>
      <c r="AD16" s="14">
        <f>AC16+AD11</f>
        <v>0</v>
      </c>
      <c r="AE16" s="14">
        <f>AD16+AE11</f>
        <v>0</v>
      </c>
    </row>
    <row r="17" spans="3:31" ht="12.75">
      <c r="C17" s="5" t="s">
        <v>43</v>
      </c>
      <c r="D17" s="5" t="str">
        <f>D16</f>
        <v>Rs. Crores</v>
      </c>
      <c r="E17" s="14">
        <f>E12</f>
        <v>0</v>
      </c>
      <c r="F17" s="14">
        <f aca="true" t="shared" si="6" ref="F17:P17">E17+F12</f>
        <v>0</v>
      </c>
      <c r="G17" s="14">
        <f t="shared" si="6"/>
        <v>0.4279388</v>
      </c>
      <c r="H17" s="14">
        <f t="shared" si="6"/>
        <v>0.8558776</v>
      </c>
      <c r="I17" s="14">
        <f t="shared" si="6"/>
        <v>1.2838164</v>
      </c>
      <c r="J17" s="14">
        <f t="shared" si="6"/>
        <v>1.7117552</v>
      </c>
      <c r="K17" s="14">
        <f t="shared" si="6"/>
        <v>2.139694</v>
      </c>
      <c r="L17" s="14">
        <f t="shared" si="6"/>
        <v>2.5676328</v>
      </c>
      <c r="M17" s="14">
        <f t="shared" si="6"/>
        <v>2.9955716000000003</v>
      </c>
      <c r="N17" s="14">
        <f t="shared" si="6"/>
        <v>3.4235104000000005</v>
      </c>
      <c r="O17" s="14">
        <f t="shared" si="6"/>
        <v>3.8514492000000007</v>
      </c>
      <c r="P17" s="14">
        <f t="shared" si="6"/>
        <v>4.359388000000001</v>
      </c>
      <c r="Q17" s="14">
        <f>P17+Q12</f>
        <v>4.867326800000001</v>
      </c>
      <c r="R17" s="14">
        <f>Q17+R12</f>
        <v>5.3752656000000005</v>
      </c>
      <c r="S17" s="14">
        <f>R17+S12</f>
        <v>5.8832044</v>
      </c>
      <c r="T17" s="14">
        <f>S17+T12</f>
        <v>6.3911432</v>
      </c>
      <c r="U17" s="14">
        <f>T17+U12</f>
        <v>6.899082</v>
      </c>
      <c r="V17" s="14">
        <f>U17+V12</f>
        <v>7.4070208</v>
      </c>
      <c r="W17" s="14">
        <f>V17+W12</f>
        <v>7.9149595999999995</v>
      </c>
      <c r="X17" s="14">
        <f>W17+X12</f>
        <v>8.4228984</v>
      </c>
      <c r="Y17" s="14">
        <f>X17+Y12</f>
        <v>9.0108372</v>
      </c>
      <c r="Z17" s="14">
        <f>Y17+Z12</f>
        <v>9.598775999999999</v>
      </c>
      <c r="AA17" s="14">
        <f>Z17+AA12</f>
        <v>10.186714799999999</v>
      </c>
      <c r="AB17" s="14">
        <f>AA17+AB12</f>
        <v>10.774653599999999</v>
      </c>
      <c r="AC17" s="14">
        <f>AB17+AC12</f>
        <v>11.362592399999999</v>
      </c>
      <c r="AD17" s="14">
        <f>AC17+AD12</f>
        <v>11.950531199999999</v>
      </c>
      <c r="AE17" s="14">
        <f>AD17+AE12</f>
        <v>12.538469999999998</v>
      </c>
    </row>
    <row r="18" spans="3:31" ht="12.75">
      <c r="C18" s="5" t="s">
        <v>44</v>
      </c>
      <c r="D18" s="5" t="str">
        <f>D17</f>
        <v>Rs. Crores</v>
      </c>
      <c r="E18" s="14">
        <f>E13</f>
        <v>0</v>
      </c>
      <c r="F18" s="14">
        <f aca="true" t="shared" si="7" ref="F18:P18">E18+F13</f>
        <v>0</v>
      </c>
      <c r="G18" s="14">
        <f t="shared" si="7"/>
        <v>1.5166129999999998</v>
      </c>
      <c r="H18" s="14">
        <f t="shared" si="7"/>
        <v>3.0332259999999995</v>
      </c>
      <c r="I18" s="14">
        <f t="shared" si="7"/>
        <v>4.5498389999999995</v>
      </c>
      <c r="J18" s="14">
        <f t="shared" si="7"/>
        <v>6.146451999999999</v>
      </c>
      <c r="K18" s="14">
        <f t="shared" si="7"/>
        <v>7.743064999999999</v>
      </c>
      <c r="L18" s="14">
        <f t="shared" si="7"/>
        <v>9.339678</v>
      </c>
      <c r="M18" s="14">
        <f t="shared" si="7"/>
        <v>11.076291</v>
      </c>
      <c r="N18" s="14">
        <f t="shared" si="7"/>
        <v>12.812904</v>
      </c>
      <c r="O18" s="14">
        <f t="shared" si="7"/>
        <v>14.549517</v>
      </c>
      <c r="P18" s="14">
        <f t="shared" si="7"/>
        <v>16.36613</v>
      </c>
      <c r="Q18" s="14">
        <f>P18+Q13</f>
        <v>18.182743</v>
      </c>
      <c r="R18" s="14">
        <f>Q18+R13</f>
        <v>19.999356</v>
      </c>
      <c r="S18" s="14">
        <f>R18+S13</f>
        <v>21.955969</v>
      </c>
      <c r="T18" s="14">
        <f>S18+T13</f>
        <v>23.912582</v>
      </c>
      <c r="U18" s="14">
        <f>T18+U13</f>
        <v>25.869195</v>
      </c>
      <c r="V18" s="14">
        <f>U18+V13</f>
        <v>27.905808</v>
      </c>
      <c r="W18" s="14">
        <f>V18+W13</f>
        <v>29.942421</v>
      </c>
      <c r="X18" s="14">
        <f>W18+X13</f>
        <v>31.979034</v>
      </c>
      <c r="Y18" s="14">
        <f>X18+Y13</f>
        <v>34.155647</v>
      </c>
      <c r="Z18" s="14">
        <f>Y18+Z13</f>
        <v>36.332260000000005</v>
      </c>
      <c r="AA18" s="14">
        <f>Z18+AA13</f>
        <v>38.50887300000001</v>
      </c>
      <c r="AB18" s="14">
        <f>AA18+AB13</f>
        <v>40.76548600000001</v>
      </c>
      <c r="AC18" s="14">
        <f>AB18+AC13</f>
        <v>43.02209900000001</v>
      </c>
      <c r="AD18" s="14">
        <f>AC18+AD13</f>
        <v>45.27871200000001</v>
      </c>
      <c r="AE18" s="14">
        <f>AD18+AE13</f>
        <v>47.535325000000014</v>
      </c>
    </row>
    <row r="19" spans="3:31" ht="12.75">
      <c r="C19" s="5" t="s">
        <v>45</v>
      </c>
      <c r="D19" s="5" t="str">
        <f>D18</f>
        <v>Rs. Crores</v>
      </c>
      <c r="E19" s="14">
        <f>E14</f>
        <v>0</v>
      </c>
      <c r="F19" s="14">
        <f aca="true" t="shared" si="8" ref="F19:P19">E19+F14</f>
        <v>0</v>
      </c>
      <c r="G19" s="14">
        <f t="shared" si="8"/>
        <v>0.078749195</v>
      </c>
      <c r="H19" s="14">
        <f t="shared" si="8"/>
        <v>0.15749839</v>
      </c>
      <c r="I19" s="14">
        <f t="shared" si="8"/>
        <v>0.23624758499999998</v>
      </c>
      <c r="J19" s="14">
        <f t="shared" si="8"/>
        <v>0.31899678</v>
      </c>
      <c r="K19" s="14">
        <f t="shared" si="8"/>
        <v>0.401745975</v>
      </c>
      <c r="L19" s="14">
        <f t="shared" si="8"/>
        <v>0.48449517</v>
      </c>
      <c r="M19" s="14">
        <f t="shared" si="8"/>
        <v>0.567244365</v>
      </c>
      <c r="N19" s="14">
        <f t="shared" si="8"/>
        <v>0.64999356</v>
      </c>
      <c r="O19" s="14">
        <f t="shared" si="8"/>
        <v>0.736742755</v>
      </c>
      <c r="P19" s="14">
        <f t="shared" si="8"/>
        <v>0.82349195</v>
      </c>
      <c r="Q19" s="14">
        <f>P19+Q14</f>
        <v>0.910241145</v>
      </c>
      <c r="R19" s="14">
        <f>Q19+R14</f>
        <v>0.99699034</v>
      </c>
      <c r="S19" s="14">
        <f>R19+S14</f>
        <v>1.0837395349999999</v>
      </c>
      <c r="T19" s="14">
        <f>S19+T14</f>
        <v>1.1804887299999998</v>
      </c>
      <c r="U19" s="14">
        <f>T19+U14</f>
        <v>1.2772379249999997</v>
      </c>
      <c r="V19" s="14">
        <f>U19+V14</f>
        <v>1.3739871199999996</v>
      </c>
      <c r="W19" s="14">
        <f>V19+W14</f>
        <v>1.4707363149999995</v>
      </c>
      <c r="X19" s="14">
        <f>W19+X14</f>
        <v>1.5674855099999994</v>
      </c>
      <c r="Y19" s="14">
        <f>X19+Y14</f>
        <v>1.6682347049999993</v>
      </c>
      <c r="Z19" s="14">
        <f>Y19+Z14</f>
        <v>1.7689838999999992</v>
      </c>
      <c r="AA19" s="14">
        <f>Z19+AA14</f>
        <v>1.869733094999999</v>
      </c>
      <c r="AB19" s="14">
        <f>AA19+AB14</f>
        <v>1.970482289999999</v>
      </c>
      <c r="AC19" s="14">
        <f>AB19+AC14</f>
        <v>2.071231484999999</v>
      </c>
      <c r="AD19" s="14">
        <f>AC19+AD14</f>
        <v>2.181980679999999</v>
      </c>
      <c r="AE19" s="14">
        <f>AD19+AE14</f>
        <v>2.2927298749999987</v>
      </c>
    </row>
    <row r="20" spans="3:31" ht="12.75">
      <c r="C20" s="20" t="s">
        <v>78</v>
      </c>
      <c r="D20" s="20" t="str">
        <f>D19</f>
        <v>Rs. Crores</v>
      </c>
      <c r="E20" s="28">
        <f>SUM(E21:E24)</f>
        <v>15.736701529464206</v>
      </c>
      <c r="F20" s="28">
        <f>SUM(F21:F24)</f>
        <v>46.2830894419642</v>
      </c>
      <c r="G20" s="28">
        <f>SUM(G21:G24)</f>
        <v>51.2181209157142</v>
      </c>
      <c r="H20" s="28">
        <f>SUM(H21:H24)</f>
        <v>49.1948199207142</v>
      </c>
      <c r="I20" s="28">
        <f>SUM(I21:I24)</f>
        <v>47.1715189257142</v>
      </c>
      <c r="J20" s="28">
        <f>SUM(J21:J24)</f>
        <v>47.1642179307142</v>
      </c>
      <c r="K20" s="28">
        <f>SUM(K21:K24)</f>
        <v>45.0569169357142</v>
      </c>
      <c r="L20" s="28">
        <f>SUM(L21:L24)</f>
        <v>42.9496159407142</v>
      </c>
      <c r="M20" s="28">
        <f>SUM(M21:M24)</f>
        <v>44.20231494571421</v>
      </c>
      <c r="N20" s="28">
        <f>SUM(N21:N24)</f>
        <v>41.955013950714196</v>
      </c>
      <c r="O20" s="28">
        <f>SUM(O21:O24)</f>
        <v>39.803712955714204</v>
      </c>
      <c r="P20" s="28">
        <f>SUM(P21:P24)</f>
        <v>41.392411960714206</v>
      </c>
      <c r="Q20" s="28">
        <f>SUM(Q21:Q24)</f>
        <v>38.98111096571421</v>
      </c>
      <c r="R20" s="28">
        <f aca="true" t="shared" si="9" ref="R20:AE20">SUM(R21:R24)</f>
        <v>36.5698099707142</v>
      </c>
      <c r="S20" s="28">
        <f t="shared" si="9"/>
        <v>37.5185089757142</v>
      </c>
      <c r="T20" s="28">
        <f t="shared" si="9"/>
        <v>35.2072079807142</v>
      </c>
      <c r="U20" s="28">
        <f t="shared" si="9"/>
        <v>32.645906985714205</v>
      </c>
      <c r="V20" s="28">
        <f t="shared" si="9"/>
        <v>32.004605990714204</v>
      </c>
      <c r="W20" s="28">
        <f t="shared" si="9"/>
        <v>29.363304995714202</v>
      </c>
      <c r="X20" s="28">
        <f t="shared" si="9"/>
        <v>26.722004000714204</v>
      </c>
      <c r="Y20" s="28">
        <f t="shared" si="9"/>
        <v>29.456703005714203</v>
      </c>
      <c r="Z20" s="28">
        <f t="shared" si="9"/>
        <v>26.591402010714198</v>
      </c>
      <c r="AA20" s="28">
        <f t="shared" si="9"/>
        <v>23.726101015714196</v>
      </c>
      <c r="AB20" s="28">
        <f t="shared" si="9"/>
        <v>22.780800020714196</v>
      </c>
      <c r="AC20" s="28">
        <f t="shared" si="9"/>
        <v>19.835499025714192</v>
      </c>
      <c r="AD20" s="28">
        <f t="shared" si="9"/>
        <v>17.13019803071419</v>
      </c>
      <c r="AE20" s="28">
        <f t="shared" si="9"/>
        <v>14.17489703571419</v>
      </c>
    </row>
    <row r="21" spans="3:31" ht="12.75">
      <c r="C21" s="5" t="s">
        <v>203</v>
      </c>
      <c r="D21" s="5" t="str">
        <f>D20</f>
        <v>Rs. Crores</v>
      </c>
      <c r="E21" s="14">
        <f>E6-E16</f>
        <v>2.658897035714206</v>
      </c>
      <c r="F21" s="14">
        <f aca="true" t="shared" si="10" ref="F21:O21">F6-F16</f>
        <v>2.658897035714206</v>
      </c>
      <c r="G21" s="14">
        <f t="shared" si="10"/>
        <v>2.658897035714206</v>
      </c>
      <c r="H21" s="14">
        <f t="shared" si="10"/>
        <v>2.658897035714206</v>
      </c>
      <c r="I21" s="14">
        <f t="shared" si="10"/>
        <v>2.658897035714206</v>
      </c>
      <c r="J21" s="14">
        <f t="shared" si="10"/>
        <v>2.658897035714206</v>
      </c>
      <c r="K21" s="14">
        <f t="shared" si="10"/>
        <v>2.658897035714206</v>
      </c>
      <c r="L21" s="14">
        <f t="shared" si="10"/>
        <v>2.658897035714206</v>
      </c>
      <c r="M21" s="14">
        <f t="shared" si="10"/>
        <v>2.658897035714206</v>
      </c>
      <c r="N21" s="14">
        <f t="shared" si="10"/>
        <v>2.658897035714206</v>
      </c>
      <c r="O21" s="14">
        <f t="shared" si="10"/>
        <v>2.658897035714206</v>
      </c>
      <c r="P21" s="14">
        <f>P6-P16</f>
        <v>2.658897035714206</v>
      </c>
      <c r="Q21" s="14">
        <f>Q6-Q16</f>
        <v>2.658897035714206</v>
      </c>
      <c r="R21" s="14">
        <f aca="true" t="shared" si="11" ref="R21:AE21">R6-R16</f>
        <v>2.658897035714206</v>
      </c>
      <c r="S21" s="14">
        <f t="shared" si="11"/>
        <v>2.658897035714206</v>
      </c>
      <c r="T21" s="14">
        <f t="shared" si="11"/>
        <v>2.658897035714206</v>
      </c>
      <c r="U21" s="14">
        <f t="shared" si="11"/>
        <v>2.658897035714206</v>
      </c>
      <c r="V21" s="14">
        <f t="shared" si="11"/>
        <v>2.658897035714206</v>
      </c>
      <c r="W21" s="14">
        <f t="shared" si="11"/>
        <v>2.658897035714206</v>
      </c>
      <c r="X21" s="14">
        <f t="shared" si="11"/>
        <v>2.658897035714206</v>
      </c>
      <c r="Y21" s="14">
        <f t="shared" si="11"/>
        <v>2.658897035714206</v>
      </c>
      <c r="Z21" s="14">
        <f t="shared" si="11"/>
        <v>2.658897035714206</v>
      </c>
      <c r="AA21" s="14">
        <f t="shared" si="11"/>
        <v>2.658897035714206</v>
      </c>
      <c r="AB21" s="14">
        <f t="shared" si="11"/>
        <v>2.658897035714206</v>
      </c>
      <c r="AC21" s="14">
        <f t="shared" si="11"/>
        <v>2.658897035714206</v>
      </c>
      <c r="AD21" s="14">
        <f t="shared" si="11"/>
        <v>2.658897035714206</v>
      </c>
      <c r="AE21" s="14">
        <f t="shared" si="11"/>
        <v>2.658897035714206</v>
      </c>
    </row>
    <row r="22" spans="3:31" ht="12.75">
      <c r="C22" s="5" t="s">
        <v>43</v>
      </c>
      <c r="D22" s="5" t="str">
        <f>D21</f>
        <v>Rs. Crores</v>
      </c>
      <c r="E22" s="14">
        <f aca="true" t="shared" si="12" ref="E22:O22">E7-E17</f>
        <v>1.6047705</v>
      </c>
      <c r="F22" s="14">
        <f t="shared" si="12"/>
        <v>8.0238525</v>
      </c>
      <c r="G22" s="14">
        <f t="shared" si="12"/>
        <v>10.2705312</v>
      </c>
      <c r="H22" s="14">
        <f t="shared" si="12"/>
        <v>9.842592400000001</v>
      </c>
      <c r="I22" s="14">
        <f t="shared" si="12"/>
        <v>9.414653600000001</v>
      </c>
      <c r="J22" s="14">
        <f t="shared" si="12"/>
        <v>8.9867148</v>
      </c>
      <c r="K22" s="14">
        <f t="shared" si="12"/>
        <v>8.558776</v>
      </c>
      <c r="L22" s="14">
        <f t="shared" si="12"/>
        <v>8.1308372</v>
      </c>
      <c r="M22" s="14">
        <f t="shared" si="12"/>
        <v>7.7028984000000005</v>
      </c>
      <c r="N22" s="14">
        <f t="shared" si="12"/>
        <v>7.2749596</v>
      </c>
      <c r="O22" s="14">
        <f t="shared" si="12"/>
        <v>6.847020799999999</v>
      </c>
      <c r="P22" s="14">
        <f>P7-P17</f>
        <v>8.339082</v>
      </c>
      <c r="Q22" s="14">
        <f>Q7-Q17</f>
        <v>7.8311432</v>
      </c>
      <c r="R22" s="14">
        <f aca="true" t="shared" si="13" ref="R22:AE22">R7-R17</f>
        <v>7.3232044</v>
      </c>
      <c r="S22" s="14">
        <f t="shared" si="13"/>
        <v>6.8152656</v>
      </c>
      <c r="T22" s="14">
        <f t="shared" si="13"/>
        <v>6.3073268</v>
      </c>
      <c r="U22" s="14">
        <f t="shared" si="13"/>
        <v>5.799388</v>
      </c>
      <c r="V22" s="14">
        <f t="shared" si="13"/>
        <v>5.291449200000001</v>
      </c>
      <c r="W22" s="14">
        <f t="shared" si="13"/>
        <v>4.783510400000001</v>
      </c>
      <c r="X22" s="14">
        <f t="shared" si="13"/>
        <v>4.275571600000001</v>
      </c>
      <c r="Y22" s="14">
        <f t="shared" si="13"/>
        <v>5.687632800000001</v>
      </c>
      <c r="Z22" s="14">
        <f t="shared" si="13"/>
        <v>5.099694000000001</v>
      </c>
      <c r="AA22" s="14">
        <f t="shared" si="13"/>
        <v>4.511755200000001</v>
      </c>
      <c r="AB22" s="14">
        <f t="shared" si="13"/>
        <v>3.9238164000000015</v>
      </c>
      <c r="AC22" s="14">
        <f t="shared" si="13"/>
        <v>3.3358776000000017</v>
      </c>
      <c r="AD22" s="14">
        <f t="shared" si="13"/>
        <v>2.747938800000002</v>
      </c>
      <c r="AE22" s="14">
        <f t="shared" si="13"/>
        <v>2.160000000000002</v>
      </c>
    </row>
    <row r="23" spans="3:31" ht="12.75">
      <c r="C23" s="5" t="s">
        <v>44</v>
      </c>
      <c r="D23" s="5" t="str">
        <f>D22</f>
        <v>Rs. Crores</v>
      </c>
      <c r="E23" s="14">
        <f aca="true" t="shared" si="14" ref="E23:O23">E8-E18</f>
        <v>11.374597499999998</v>
      </c>
      <c r="F23" s="14">
        <f t="shared" si="14"/>
        <v>34.12379249999999</v>
      </c>
      <c r="G23" s="14">
        <f t="shared" si="14"/>
        <v>36.398711999999996</v>
      </c>
      <c r="H23" s="14">
        <f t="shared" si="14"/>
        <v>34.882099</v>
      </c>
      <c r="I23" s="14">
        <f t="shared" si="14"/>
        <v>33.365486</v>
      </c>
      <c r="J23" s="14">
        <f t="shared" si="14"/>
        <v>33.768873</v>
      </c>
      <c r="K23" s="14">
        <f t="shared" si="14"/>
        <v>32.172259999999994</v>
      </c>
      <c r="L23" s="14">
        <f t="shared" si="14"/>
        <v>30.575646999999996</v>
      </c>
      <c r="M23" s="14">
        <f t="shared" si="14"/>
        <v>32.339034</v>
      </c>
      <c r="N23" s="14">
        <f t="shared" si="14"/>
        <v>30.602420999999996</v>
      </c>
      <c r="O23" s="14">
        <f t="shared" si="14"/>
        <v>28.865807999999994</v>
      </c>
      <c r="P23" s="14">
        <f>P8-P18</f>
        <v>29.049194999999997</v>
      </c>
      <c r="Q23" s="14">
        <f>Q8-Q18</f>
        <v>27.232581999999997</v>
      </c>
      <c r="R23" s="14">
        <f aca="true" t="shared" si="15" ref="R23:AE23">R8-R18</f>
        <v>25.415968999999997</v>
      </c>
      <c r="S23" s="14">
        <f t="shared" si="15"/>
        <v>26.959355999999996</v>
      </c>
      <c r="T23" s="14">
        <f t="shared" si="15"/>
        <v>25.002742999999995</v>
      </c>
      <c r="U23" s="14">
        <f t="shared" si="15"/>
        <v>23.046129999999994</v>
      </c>
      <c r="V23" s="14">
        <f t="shared" si="15"/>
        <v>23.009516999999995</v>
      </c>
      <c r="W23" s="14">
        <f t="shared" si="15"/>
        <v>20.972903999999996</v>
      </c>
      <c r="X23" s="14">
        <f t="shared" si="15"/>
        <v>18.936290999999997</v>
      </c>
      <c r="Y23" s="14">
        <f t="shared" si="15"/>
        <v>20.259677999999994</v>
      </c>
      <c r="Z23" s="14">
        <f t="shared" si="15"/>
        <v>18.08306499999999</v>
      </c>
      <c r="AA23" s="14">
        <f t="shared" si="15"/>
        <v>15.906451999999987</v>
      </c>
      <c r="AB23" s="14">
        <f t="shared" si="15"/>
        <v>15.649838999999986</v>
      </c>
      <c r="AC23" s="14">
        <f t="shared" si="15"/>
        <v>13.393225999999984</v>
      </c>
      <c r="AD23" s="14">
        <f t="shared" si="15"/>
        <v>11.136612999999983</v>
      </c>
      <c r="AE23" s="14">
        <f t="shared" si="15"/>
        <v>8.879999999999981</v>
      </c>
    </row>
    <row r="24" spans="3:31" ht="12.75">
      <c r="C24" s="5" t="s">
        <v>45</v>
      </c>
      <c r="D24" s="5" t="str">
        <f>D23</f>
        <v>Rs. Crores</v>
      </c>
      <c r="E24" s="14">
        <f aca="true" t="shared" si="16" ref="E24:O24">E9-E19</f>
        <v>0.09843649375</v>
      </c>
      <c r="F24" s="14">
        <f t="shared" si="16"/>
        <v>1.47654740625</v>
      </c>
      <c r="G24" s="14">
        <f t="shared" si="16"/>
        <v>1.8899806799999999</v>
      </c>
      <c r="H24" s="14">
        <f t="shared" si="16"/>
        <v>1.811231485</v>
      </c>
      <c r="I24" s="14">
        <f t="shared" si="16"/>
        <v>1.73248229</v>
      </c>
      <c r="J24" s="14">
        <f t="shared" si="16"/>
        <v>1.7497330949999998</v>
      </c>
      <c r="K24" s="14">
        <f t="shared" si="16"/>
        <v>1.6669839</v>
      </c>
      <c r="L24" s="14">
        <f t="shared" si="16"/>
        <v>1.5842347049999999</v>
      </c>
      <c r="M24" s="14">
        <f t="shared" si="16"/>
        <v>1.5014855099999997</v>
      </c>
      <c r="N24" s="14">
        <f t="shared" si="16"/>
        <v>1.4187363149999999</v>
      </c>
      <c r="O24" s="14">
        <f t="shared" si="16"/>
        <v>1.43198712</v>
      </c>
      <c r="P24" s="14">
        <f>P9-P19</f>
        <v>1.345237925</v>
      </c>
      <c r="Q24" s="14">
        <f>Q9-Q19</f>
        <v>1.2584887299999998</v>
      </c>
      <c r="R24" s="14">
        <f aca="true" t="shared" si="17" ref="R24:AE24">R9-R19</f>
        <v>1.171739535</v>
      </c>
      <c r="S24" s="14">
        <f t="shared" si="17"/>
        <v>1.08499034</v>
      </c>
      <c r="T24" s="14">
        <f t="shared" si="17"/>
        <v>1.2382411450000002</v>
      </c>
      <c r="U24" s="14">
        <f t="shared" si="17"/>
        <v>1.1414919500000003</v>
      </c>
      <c r="V24" s="14">
        <f t="shared" si="17"/>
        <v>1.0447427550000004</v>
      </c>
      <c r="W24" s="14">
        <f t="shared" si="17"/>
        <v>0.9479935600000005</v>
      </c>
      <c r="X24" s="14">
        <f t="shared" si="17"/>
        <v>0.8512443650000006</v>
      </c>
      <c r="Y24" s="14">
        <f t="shared" si="17"/>
        <v>0.8504951700000007</v>
      </c>
      <c r="Z24" s="14">
        <f t="shared" si="17"/>
        <v>0.7497459750000008</v>
      </c>
      <c r="AA24" s="14">
        <f t="shared" si="17"/>
        <v>0.6489967800000009</v>
      </c>
      <c r="AB24" s="14">
        <f t="shared" si="17"/>
        <v>0.548247585000001</v>
      </c>
      <c r="AC24" s="14">
        <f t="shared" si="17"/>
        <v>0.44749839000000113</v>
      </c>
      <c r="AD24" s="14">
        <f t="shared" si="17"/>
        <v>0.5867491950000012</v>
      </c>
      <c r="AE24" s="14">
        <f t="shared" si="17"/>
        <v>0.4760000000000013</v>
      </c>
    </row>
    <row r="26" ht="12.75">
      <c r="C26" s="1" t="s">
        <v>220</v>
      </c>
    </row>
    <row r="28" spans="3:31" ht="12.75">
      <c r="C28" s="59" t="s">
        <v>1</v>
      </c>
      <c r="D28" s="59" t="s">
        <v>2</v>
      </c>
      <c r="E28" s="60">
        <f>E4</f>
        <v>44651</v>
      </c>
      <c r="F28" s="60">
        <f aca="true" t="shared" si="18" ref="F28:Q28">F4</f>
        <v>45016</v>
      </c>
      <c r="G28" s="60">
        <f t="shared" si="18"/>
        <v>45382</v>
      </c>
      <c r="H28" s="60">
        <f t="shared" si="18"/>
        <v>45747</v>
      </c>
      <c r="I28" s="60">
        <f t="shared" si="18"/>
        <v>46112</v>
      </c>
      <c r="J28" s="60">
        <f t="shared" si="18"/>
        <v>46477</v>
      </c>
      <c r="K28" s="60">
        <f t="shared" si="18"/>
        <v>46843</v>
      </c>
      <c r="L28" s="60">
        <f t="shared" si="18"/>
        <v>47208</v>
      </c>
      <c r="M28" s="60">
        <f t="shared" si="18"/>
        <v>47573</v>
      </c>
      <c r="N28" s="60">
        <f t="shared" si="18"/>
        <v>47938</v>
      </c>
      <c r="O28" s="60">
        <f t="shared" si="18"/>
        <v>48304</v>
      </c>
      <c r="P28" s="60">
        <f t="shared" si="18"/>
        <v>48669</v>
      </c>
      <c r="Q28" s="60">
        <f t="shared" si="18"/>
        <v>49034</v>
      </c>
      <c r="R28" s="60">
        <f aca="true" t="shared" si="19" ref="R28:AE28">R4</f>
        <v>49399</v>
      </c>
      <c r="S28" s="60">
        <f t="shared" si="19"/>
        <v>49765</v>
      </c>
      <c r="T28" s="60">
        <f t="shared" si="19"/>
        <v>50130</v>
      </c>
      <c r="U28" s="60">
        <f t="shared" si="19"/>
        <v>50495</v>
      </c>
      <c r="V28" s="60">
        <f t="shared" si="19"/>
        <v>50860</v>
      </c>
      <c r="W28" s="60">
        <f t="shared" si="19"/>
        <v>51226</v>
      </c>
      <c r="X28" s="60">
        <f t="shared" si="19"/>
        <v>51591</v>
      </c>
      <c r="Y28" s="60">
        <f t="shared" si="19"/>
        <v>51956</v>
      </c>
      <c r="Z28" s="60">
        <f t="shared" si="19"/>
        <v>52321</v>
      </c>
      <c r="AA28" s="60">
        <f t="shared" si="19"/>
        <v>52687</v>
      </c>
      <c r="AB28" s="60">
        <f t="shared" si="19"/>
        <v>53052</v>
      </c>
      <c r="AC28" s="60">
        <f t="shared" si="19"/>
        <v>53417</v>
      </c>
      <c r="AD28" s="60">
        <f t="shared" si="19"/>
        <v>53782</v>
      </c>
      <c r="AE28" s="60">
        <f t="shared" si="19"/>
        <v>54148</v>
      </c>
    </row>
    <row r="29" spans="3:31" ht="12.75">
      <c r="C29" s="20" t="s">
        <v>75</v>
      </c>
      <c r="D29" s="20" t="str">
        <f>D20</f>
        <v>Rs. Crores</v>
      </c>
      <c r="E29" s="28">
        <f>SUM(E30:E33)</f>
        <v>15.736701529464206</v>
      </c>
      <c r="F29" s="28">
        <f>SUM(F30:F33)</f>
        <v>46.2830894419642</v>
      </c>
      <c r="G29" s="28">
        <f>SUM(G30:G33)</f>
        <v>53.2414219107142</v>
      </c>
      <c r="H29" s="28">
        <f>SUM(H30:H33)</f>
        <v>53.2414219107142</v>
      </c>
      <c r="I29" s="28">
        <f>SUM(I30:I33)</f>
        <v>53.2414219107142</v>
      </c>
      <c r="J29" s="28">
        <f>SUM(J30:J33)</f>
        <v>55.3414219107142</v>
      </c>
      <c r="K29" s="28">
        <f>SUM(K30:K33)</f>
        <v>55.3414219107142</v>
      </c>
      <c r="L29" s="28">
        <f>SUM(L30:L33)</f>
        <v>55.3414219107142</v>
      </c>
      <c r="M29" s="28">
        <f>SUM(M30:M33)</f>
        <v>58.8414219107142</v>
      </c>
      <c r="N29" s="28">
        <f>SUM(N30:N33)</f>
        <v>58.8414219107142</v>
      </c>
      <c r="O29" s="28">
        <f>SUM(O30:O33)</f>
        <v>58.9414219107142</v>
      </c>
      <c r="P29" s="28">
        <f>SUM(P30:P33)</f>
        <v>62.9414219107142</v>
      </c>
      <c r="Q29" s="28">
        <f>SUM(Q30:Q33)</f>
        <v>62.9414219107142</v>
      </c>
      <c r="R29" s="28">
        <f aca="true" t="shared" si="20" ref="R29:AE29">SUM(R30:R33)</f>
        <v>62.9414219107142</v>
      </c>
      <c r="S29" s="28">
        <f t="shared" si="20"/>
        <v>66.4414219107142</v>
      </c>
      <c r="T29" s="28">
        <f t="shared" si="20"/>
        <v>66.6914219107142</v>
      </c>
      <c r="U29" s="28">
        <f t="shared" si="20"/>
        <v>66.6914219107142</v>
      </c>
      <c r="V29" s="28">
        <f t="shared" si="20"/>
        <v>68.6914219107142</v>
      </c>
      <c r="W29" s="28">
        <f t="shared" si="20"/>
        <v>68.6914219107142</v>
      </c>
      <c r="X29" s="28">
        <f t="shared" si="20"/>
        <v>68.6914219107142</v>
      </c>
      <c r="Y29" s="28">
        <f t="shared" si="20"/>
        <v>74.2914219107142</v>
      </c>
      <c r="Z29" s="28">
        <f t="shared" si="20"/>
        <v>74.2914219107142</v>
      </c>
      <c r="AA29" s="28">
        <f t="shared" si="20"/>
        <v>74.2914219107142</v>
      </c>
      <c r="AB29" s="28">
        <f t="shared" si="20"/>
        <v>76.2914219107142</v>
      </c>
      <c r="AC29" s="28">
        <f t="shared" si="20"/>
        <v>76.2914219107142</v>
      </c>
      <c r="AD29" s="28">
        <f t="shared" si="20"/>
        <v>76.5414219107142</v>
      </c>
      <c r="AE29" s="28">
        <f t="shared" si="20"/>
        <v>76.5414219107142</v>
      </c>
    </row>
    <row r="30" spans="3:31" ht="12.75">
      <c r="C30" s="5" t="s">
        <v>203</v>
      </c>
      <c r="D30" s="5" t="str">
        <f>D29</f>
        <v>Rs. Crores</v>
      </c>
      <c r="E30" s="14">
        <f>E6</f>
        <v>2.658897035714206</v>
      </c>
      <c r="F30" s="14">
        <f aca="true" t="shared" si="21" ref="F30:O30">F6</f>
        <v>2.658897035714206</v>
      </c>
      <c r="G30" s="14">
        <f t="shared" si="21"/>
        <v>2.658897035714206</v>
      </c>
      <c r="H30" s="14">
        <f t="shared" si="21"/>
        <v>2.658897035714206</v>
      </c>
      <c r="I30" s="14">
        <f t="shared" si="21"/>
        <v>2.658897035714206</v>
      </c>
      <c r="J30" s="14">
        <f t="shared" si="21"/>
        <v>2.658897035714206</v>
      </c>
      <c r="K30" s="14">
        <f t="shared" si="21"/>
        <v>2.658897035714206</v>
      </c>
      <c r="L30" s="14">
        <f t="shared" si="21"/>
        <v>2.658897035714206</v>
      </c>
      <c r="M30" s="14">
        <f t="shared" si="21"/>
        <v>2.658897035714206</v>
      </c>
      <c r="N30" s="14">
        <f t="shared" si="21"/>
        <v>2.658897035714206</v>
      </c>
      <c r="O30" s="14">
        <f t="shared" si="21"/>
        <v>2.658897035714206</v>
      </c>
      <c r="P30" s="14">
        <f>P6</f>
        <v>2.658897035714206</v>
      </c>
      <c r="Q30" s="14">
        <f>Q6</f>
        <v>2.658897035714206</v>
      </c>
      <c r="R30" s="14">
        <f aca="true" t="shared" si="22" ref="R30:AE30">R6</f>
        <v>2.658897035714206</v>
      </c>
      <c r="S30" s="14">
        <f t="shared" si="22"/>
        <v>2.658897035714206</v>
      </c>
      <c r="T30" s="14">
        <f t="shared" si="22"/>
        <v>2.658897035714206</v>
      </c>
      <c r="U30" s="14">
        <f t="shared" si="22"/>
        <v>2.658897035714206</v>
      </c>
      <c r="V30" s="14">
        <f t="shared" si="22"/>
        <v>2.658897035714206</v>
      </c>
      <c r="W30" s="14">
        <f t="shared" si="22"/>
        <v>2.658897035714206</v>
      </c>
      <c r="X30" s="14">
        <f t="shared" si="22"/>
        <v>2.658897035714206</v>
      </c>
      <c r="Y30" s="14">
        <f t="shared" si="22"/>
        <v>2.658897035714206</v>
      </c>
      <c r="Z30" s="14">
        <f t="shared" si="22"/>
        <v>2.658897035714206</v>
      </c>
      <c r="AA30" s="14">
        <f t="shared" si="22"/>
        <v>2.658897035714206</v>
      </c>
      <c r="AB30" s="14">
        <f t="shared" si="22"/>
        <v>2.658897035714206</v>
      </c>
      <c r="AC30" s="14">
        <f t="shared" si="22"/>
        <v>2.658897035714206</v>
      </c>
      <c r="AD30" s="14">
        <f t="shared" si="22"/>
        <v>2.658897035714206</v>
      </c>
      <c r="AE30" s="14">
        <f t="shared" si="22"/>
        <v>2.658897035714206</v>
      </c>
    </row>
    <row r="31" spans="3:31" ht="12.75">
      <c r="C31" s="5" t="s">
        <v>43</v>
      </c>
      <c r="D31" s="5" t="str">
        <f>D30</f>
        <v>Rs. Crores</v>
      </c>
      <c r="E31" s="14">
        <f aca="true" t="shared" si="23" ref="E31:O33">E7</f>
        <v>1.6047705</v>
      </c>
      <c r="F31" s="14">
        <f t="shared" si="23"/>
        <v>8.0238525</v>
      </c>
      <c r="G31" s="14">
        <f t="shared" si="23"/>
        <v>10.69847</v>
      </c>
      <c r="H31" s="14">
        <f t="shared" si="23"/>
        <v>10.69847</v>
      </c>
      <c r="I31" s="14">
        <f t="shared" si="23"/>
        <v>10.69847</v>
      </c>
      <c r="J31" s="14">
        <f t="shared" si="23"/>
        <v>10.69847</v>
      </c>
      <c r="K31" s="14">
        <f t="shared" si="23"/>
        <v>10.69847</v>
      </c>
      <c r="L31" s="14">
        <f t="shared" si="23"/>
        <v>10.69847</v>
      </c>
      <c r="M31" s="14">
        <f t="shared" si="23"/>
        <v>10.69847</v>
      </c>
      <c r="N31" s="14">
        <f t="shared" si="23"/>
        <v>10.69847</v>
      </c>
      <c r="O31" s="14">
        <f t="shared" si="23"/>
        <v>10.69847</v>
      </c>
      <c r="P31" s="14">
        <f>P7</f>
        <v>12.69847</v>
      </c>
      <c r="Q31" s="14">
        <f>Q7</f>
        <v>12.69847</v>
      </c>
      <c r="R31" s="14">
        <f aca="true" t="shared" si="24" ref="R31:AE31">R7</f>
        <v>12.69847</v>
      </c>
      <c r="S31" s="14">
        <f t="shared" si="24"/>
        <v>12.69847</v>
      </c>
      <c r="T31" s="14">
        <f t="shared" si="24"/>
        <v>12.69847</v>
      </c>
      <c r="U31" s="14">
        <f t="shared" si="24"/>
        <v>12.69847</v>
      </c>
      <c r="V31" s="14">
        <f t="shared" si="24"/>
        <v>12.69847</v>
      </c>
      <c r="W31" s="14">
        <f t="shared" si="24"/>
        <v>12.69847</v>
      </c>
      <c r="X31" s="14">
        <f t="shared" si="24"/>
        <v>12.69847</v>
      </c>
      <c r="Y31" s="14">
        <f t="shared" si="24"/>
        <v>14.69847</v>
      </c>
      <c r="Z31" s="14">
        <f t="shared" si="24"/>
        <v>14.69847</v>
      </c>
      <c r="AA31" s="14">
        <f t="shared" si="24"/>
        <v>14.69847</v>
      </c>
      <c r="AB31" s="14">
        <f t="shared" si="24"/>
        <v>14.69847</v>
      </c>
      <c r="AC31" s="14">
        <f t="shared" si="24"/>
        <v>14.69847</v>
      </c>
      <c r="AD31" s="14">
        <f t="shared" si="24"/>
        <v>14.69847</v>
      </c>
      <c r="AE31" s="14">
        <f t="shared" si="24"/>
        <v>14.69847</v>
      </c>
    </row>
    <row r="32" spans="3:31" ht="12.75">
      <c r="C32" s="5" t="s">
        <v>44</v>
      </c>
      <c r="D32" s="5" t="str">
        <f>D31</f>
        <v>Rs. Crores</v>
      </c>
      <c r="E32" s="14">
        <f t="shared" si="23"/>
        <v>11.374597499999998</v>
      </c>
      <c r="F32" s="14">
        <f t="shared" si="23"/>
        <v>34.12379249999999</v>
      </c>
      <c r="G32" s="14">
        <f t="shared" si="23"/>
        <v>37.915324999999996</v>
      </c>
      <c r="H32" s="14">
        <f t="shared" si="23"/>
        <v>37.915324999999996</v>
      </c>
      <c r="I32" s="14">
        <f t="shared" si="23"/>
        <v>37.915324999999996</v>
      </c>
      <c r="J32" s="14">
        <f t="shared" si="23"/>
        <v>39.915324999999996</v>
      </c>
      <c r="K32" s="14">
        <f t="shared" si="23"/>
        <v>39.915324999999996</v>
      </c>
      <c r="L32" s="14">
        <f t="shared" si="23"/>
        <v>39.915324999999996</v>
      </c>
      <c r="M32" s="14">
        <f t="shared" si="23"/>
        <v>43.415324999999996</v>
      </c>
      <c r="N32" s="14">
        <f t="shared" si="23"/>
        <v>43.415324999999996</v>
      </c>
      <c r="O32" s="14">
        <f t="shared" si="23"/>
        <v>43.415324999999996</v>
      </c>
      <c r="P32" s="14">
        <f>P8</f>
        <v>45.415324999999996</v>
      </c>
      <c r="Q32" s="14">
        <f>Q8</f>
        <v>45.415324999999996</v>
      </c>
      <c r="R32" s="14">
        <f aca="true" t="shared" si="25" ref="R32:AE32">R8</f>
        <v>45.415324999999996</v>
      </c>
      <c r="S32" s="14">
        <f t="shared" si="25"/>
        <v>48.915324999999996</v>
      </c>
      <c r="T32" s="14">
        <f t="shared" si="25"/>
        <v>48.915324999999996</v>
      </c>
      <c r="U32" s="14">
        <f t="shared" si="25"/>
        <v>48.915324999999996</v>
      </c>
      <c r="V32" s="14">
        <f t="shared" si="25"/>
        <v>50.915324999999996</v>
      </c>
      <c r="W32" s="14">
        <f t="shared" si="25"/>
        <v>50.915324999999996</v>
      </c>
      <c r="X32" s="14">
        <f t="shared" si="25"/>
        <v>50.915324999999996</v>
      </c>
      <c r="Y32" s="14">
        <f t="shared" si="25"/>
        <v>54.415324999999996</v>
      </c>
      <c r="Z32" s="14">
        <f t="shared" si="25"/>
        <v>54.415324999999996</v>
      </c>
      <c r="AA32" s="14">
        <f t="shared" si="25"/>
        <v>54.415324999999996</v>
      </c>
      <c r="AB32" s="14">
        <f t="shared" si="25"/>
        <v>56.415324999999996</v>
      </c>
      <c r="AC32" s="14">
        <f t="shared" si="25"/>
        <v>56.415324999999996</v>
      </c>
      <c r="AD32" s="14">
        <f t="shared" si="25"/>
        <v>56.415324999999996</v>
      </c>
      <c r="AE32" s="14">
        <f t="shared" si="25"/>
        <v>56.415324999999996</v>
      </c>
    </row>
    <row r="33" spans="3:31" ht="12.75">
      <c r="C33" s="5" t="s">
        <v>45</v>
      </c>
      <c r="D33" s="5" t="str">
        <f>D32</f>
        <v>Rs. Crores</v>
      </c>
      <c r="E33" s="14">
        <f t="shared" si="23"/>
        <v>0.09843649375</v>
      </c>
      <c r="F33" s="14">
        <f t="shared" si="23"/>
        <v>1.47654740625</v>
      </c>
      <c r="G33" s="14">
        <f t="shared" si="23"/>
        <v>1.968729875</v>
      </c>
      <c r="H33" s="14">
        <f t="shared" si="23"/>
        <v>1.968729875</v>
      </c>
      <c r="I33" s="14">
        <f t="shared" si="23"/>
        <v>1.968729875</v>
      </c>
      <c r="J33" s="14">
        <f t="shared" si="23"/>
        <v>2.068729875</v>
      </c>
      <c r="K33" s="14">
        <f t="shared" si="23"/>
        <v>2.068729875</v>
      </c>
      <c r="L33" s="14">
        <f t="shared" si="23"/>
        <v>2.068729875</v>
      </c>
      <c r="M33" s="14">
        <f t="shared" si="23"/>
        <v>2.068729875</v>
      </c>
      <c r="N33" s="14">
        <f t="shared" si="23"/>
        <v>2.068729875</v>
      </c>
      <c r="O33" s="14">
        <f t="shared" si="23"/>
        <v>2.168729875</v>
      </c>
      <c r="P33" s="14">
        <f>P9</f>
        <v>2.168729875</v>
      </c>
      <c r="Q33" s="14">
        <f>Q9</f>
        <v>2.168729875</v>
      </c>
      <c r="R33" s="14">
        <f aca="true" t="shared" si="26" ref="R33:AE33">R9</f>
        <v>2.168729875</v>
      </c>
      <c r="S33" s="14">
        <f t="shared" si="26"/>
        <v>2.168729875</v>
      </c>
      <c r="T33" s="14">
        <f t="shared" si="26"/>
        <v>2.418729875</v>
      </c>
      <c r="U33" s="14">
        <f t="shared" si="26"/>
        <v>2.418729875</v>
      </c>
      <c r="V33" s="14">
        <f t="shared" si="26"/>
        <v>2.418729875</v>
      </c>
      <c r="W33" s="14">
        <f t="shared" si="26"/>
        <v>2.418729875</v>
      </c>
      <c r="X33" s="14">
        <f t="shared" si="26"/>
        <v>2.418729875</v>
      </c>
      <c r="Y33" s="14">
        <f t="shared" si="26"/>
        <v>2.518729875</v>
      </c>
      <c r="Z33" s="14">
        <f t="shared" si="26"/>
        <v>2.518729875</v>
      </c>
      <c r="AA33" s="14">
        <f t="shared" si="26"/>
        <v>2.518729875</v>
      </c>
      <c r="AB33" s="14">
        <f t="shared" si="26"/>
        <v>2.518729875</v>
      </c>
      <c r="AC33" s="14">
        <f t="shared" si="26"/>
        <v>2.518729875</v>
      </c>
      <c r="AD33" s="14">
        <f t="shared" si="26"/>
        <v>2.768729875</v>
      </c>
      <c r="AE33" s="14">
        <f t="shared" si="26"/>
        <v>2.768729875</v>
      </c>
    </row>
    <row r="34" spans="3:31" ht="12.75">
      <c r="C34" s="20" t="s">
        <v>76</v>
      </c>
      <c r="D34" s="20" t="str">
        <f>D33</f>
        <v>Rs. Crores</v>
      </c>
      <c r="E34" s="28">
        <f>SUM(E35:E38)</f>
        <v>0</v>
      </c>
      <c r="F34" s="28">
        <f>SUM(F35:F38)</f>
        <v>0</v>
      </c>
      <c r="G34" s="28">
        <f>SUM(G35:G38)</f>
        <v>3.0712181179687494</v>
      </c>
      <c r="H34" s="28">
        <f>SUM(H35:H38)</f>
        <v>6.611832144804687</v>
      </c>
      <c r="I34" s="28">
        <f>SUM(I35:I38)</f>
        <v>5.671543709958983</v>
      </c>
      <c r="J34" s="28">
        <f>SUM(J35:J38)</f>
        <v>4.867149901652636</v>
      </c>
      <c r="K34" s="28">
        <f>SUM(K35:K38)</f>
        <v>4.493781389773491</v>
      </c>
      <c r="L34" s="28">
        <f>SUM(L35:L38)</f>
        <v>3.8572477573393424</v>
      </c>
      <c r="M34" s="28">
        <f>SUM(M35:M38)</f>
        <v>3.3124408121671287</v>
      </c>
      <c r="N34" s="28">
        <f>SUM(N35:N38)</f>
        <v>3.370976886927878</v>
      </c>
      <c r="O34" s="28">
        <f>SUM(O35:O38)</f>
        <v>2.892692330815933</v>
      </c>
      <c r="P34" s="28">
        <f>SUM(P35:P38)</f>
        <v>2.4984142604280564</v>
      </c>
      <c r="Q34" s="28">
        <f>SUM(Q35:Q38)</f>
        <v>2.64581532267491</v>
      </c>
      <c r="R34" s="28">
        <f aca="true" t="shared" si="27" ref="R34:AE34">SUM(R35:R38)</f>
        <v>2.27888990545363</v>
      </c>
      <c r="S34" s="28">
        <f t="shared" si="27"/>
        <v>1.9640086126975447</v>
      </c>
      <c r="T34" s="28">
        <f t="shared" si="27"/>
        <v>2.218664294548677</v>
      </c>
      <c r="U34" s="28">
        <f t="shared" si="27"/>
        <v>1.9451959267465637</v>
      </c>
      <c r="V34" s="28">
        <f t="shared" si="27"/>
        <v>1.673064686476748</v>
      </c>
      <c r="W34" s="28">
        <f t="shared" si="27"/>
        <v>1.7397883173731883</v>
      </c>
      <c r="X34" s="28">
        <f t="shared" si="27"/>
        <v>1.4947350702483673</v>
      </c>
      <c r="Y34" s="28">
        <f t="shared" si="27"/>
        <v>1.2848483101441535</v>
      </c>
      <c r="Z34" s="28">
        <f t="shared" si="27"/>
        <v>1.8450122140122671</v>
      </c>
      <c r="AA34" s="28">
        <f t="shared" si="27"/>
        <v>1.5898624172611906</v>
      </c>
      <c r="AB34" s="28">
        <f t="shared" si="27"/>
        <v>1.3708248864876995</v>
      </c>
      <c r="AC34" s="28">
        <f t="shared" si="27"/>
        <v>1.4826988021486627</v>
      </c>
      <c r="AD34" s="28">
        <f t="shared" si="27"/>
        <v>1.2760418655970696</v>
      </c>
      <c r="AE34" s="28">
        <f t="shared" si="27"/>
        <v>1.1363086811511454</v>
      </c>
    </row>
    <row r="35" spans="3:31" ht="12.75">
      <c r="C35" s="5" t="s">
        <v>203</v>
      </c>
      <c r="D35" s="5" t="str">
        <f>D34</f>
        <v>Rs. Crores</v>
      </c>
      <c r="E35" s="14"/>
      <c r="F35" s="14"/>
      <c r="G35" s="14">
        <f>F45*Input!$E$125*1/2</f>
        <v>0</v>
      </c>
      <c r="H35" s="14">
        <f>G45*Input!$E$125</f>
        <v>0</v>
      </c>
      <c r="I35" s="14">
        <f>H45*Input!$E$125</f>
        <v>0</v>
      </c>
      <c r="J35" s="14">
        <f>I45*Input!$E$125</f>
        <v>0</v>
      </c>
      <c r="K35" s="14">
        <f>J45*Input!$E$125</f>
        <v>0</v>
      </c>
      <c r="L35" s="14">
        <f>K45*Input!$E$125</f>
        <v>0</v>
      </c>
      <c r="M35" s="14">
        <f>L45*Input!$E$125</f>
        <v>0</v>
      </c>
      <c r="N35" s="14">
        <f>M45*Input!$E$125</f>
        <v>0</v>
      </c>
      <c r="O35" s="14">
        <f>N45*Input!$E$125</f>
        <v>0</v>
      </c>
      <c r="P35" s="14">
        <f>O45*Input!$E$125</f>
        <v>0</v>
      </c>
      <c r="Q35" s="14">
        <f>P45*Input!$E$125</f>
        <v>0</v>
      </c>
      <c r="R35" s="14">
        <f>Q45*Input!$E$125</f>
        <v>0</v>
      </c>
      <c r="S35" s="14">
        <f>R45*Input!$E$125</f>
        <v>0</v>
      </c>
      <c r="T35" s="14">
        <f>S45*Input!$E$125</f>
        <v>0</v>
      </c>
      <c r="U35" s="14">
        <f>T45*Input!$E$125</f>
        <v>0</v>
      </c>
      <c r="V35" s="14">
        <f>U45*Input!$E$125</f>
        <v>0</v>
      </c>
      <c r="W35" s="14">
        <f>V45*Input!$E$125</f>
        <v>0</v>
      </c>
      <c r="X35" s="14">
        <f>W45*Input!$E$125</f>
        <v>0</v>
      </c>
      <c r="Y35" s="14">
        <f>X45*Input!$E$125</f>
        <v>0</v>
      </c>
      <c r="Z35" s="14">
        <f>Y45*Input!$E$125</f>
        <v>0</v>
      </c>
      <c r="AA35" s="14">
        <f>Z45*Input!$E$125</f>
        <v>0</v>
      </c>
      <c r="AB35" s="14">
        <f>AA45*Input!$E$125</f>
        <v>0</v>
      </c>
      <c r="AC35" s="14">
        <f>AB45*Input!$E$125</f>
        <v>0</v>
      </c>
      <c r="AD35" s="14">
        <f>AC45*Input!$E$125</f>
        <v>0</v>
      </c>
      <c r="AE35" s="14">
        <f>AD45*Input!$E$125</f>
        <v>0</v>
      </c>
    </row>
    <row r="36" spans="3:31" ht="12.75">
      <c r="C36" s="5" t="s">
        <v>43</v>
      </c>
      <c r="D36" s="5" t="str">
        <f>D35</f>
        <v>Rs. Crores</v>
      </c>
      <c r="E36" s="14"/>
      <c r="F36" s="14"/>
      <c r="G36" s="14">
        <f>F46*Input!$E$126*1/2</f>
        <v>0.401192625</v>
      </c>
      <c r="H36" s="14">
        <f>G46*Input!$E$126</f>
        <v>1.0297277375</v>
      </c>
      <c r="I36" s="14">
        <f>H46*Input!$E$126</f>
        <v>0.9267549637500001</v>
      </c>
      <c r="J36" s="14">
        <f>I46*Input!$E$126</f>
        <v>0.834079467375</v>
      </c>
      <c r="K36" s="14">
        <f>J46*Input!$E$126</f>
        <v>0.7506715206375001</v>
      </c>
      <c r="L36" s="14">
        <f>K46*Input!$E$126</f>
        <v>0.6756043685737501</v>
      </c>
      <c r="M36" s="14">
        <f>L46*Input!$E$126</f>
        <v>0.608043931716375</v>
      </c>
      <c r="N36" s="14">
        <f>M46*Input!$E$126</f>
        <v>0.5472395385447376</v>
      </c>
      <c r="O36" s="14">
        <f>N46*Input!$E$126</f>
        <v>0.4925155846902638</v>
      </c>
      <c r="P36" s="14">
        <f>O46*Input!$E$126</f>
        <v>0.4432640262212374</v>
      </c>
      <c r="Q36" s="14">
        <f>P46*Input!$E$126</f>
        <v>0.5989376235991136</v>
      </c>
      <c r="R36" s="14">
        <f>Q46*Input!$E$126</f>
        <v>0.5390438612392022</v>
      </c>
      <c r="S36" s="14">
        <f>R46*Input!$E$126</f>
        <v>0.485139475115282</v>
      </c>
      <c r="T36" s="14">
        <f>S46*Input!$E$126</f>
        <v>0.43662552760375384</v>
      </c>
      <c r="U36" s="14">
        <f>T46*Input!$E$126</f>
        <v>0.3929629748433785</v>
      </c>
      <c r="V36" s="14">
        <f>U46*Input!$E$126</f>
        <v>0.35366667735904067</v>
      </c>
      <c r="W36" s="14">
        <f>V46*Input!$E$126</f>
        <v>0.3183000096231366</v>
      </c>
      <c r="X36" s="14">
        <f>W46*Input!$E$126</f>
        <v>0.2864700086608229</v>
      </c>
      <c r="Y36" s="14">
        <f>X46*Input!$E$126</f>
        <v>0.25782300779474066</v>
      </c>
      <c r="Z36" s="14">
        <f>Y46*Input!$E$126</f>
        <v>0.43204070701526653</v>
      </c>
      <c r="AA36" s="14">
        <f>Z46*Input!$E$126</f>
        <v>0.3888366363137399</v>
      </c>
      <c r="AB36" s="14">
        <f>AA46*Input!$E$126</f>
        <v>0.349952972682366</v>
      </c>
      <c r="AC36" s="14">
        <f>AB46*Input!$E$126</f>
        <v>0.31495767541412933</v>
      </c>
      <c r="AD36" s="14">
        <f>AC46*Input!$E$126</f>
        <v>0.28346190787271636</v>
      </c>
      <c r="AE36" s="14">
        <f>AD46*Input!$E$126</f>
        <v>0.2551157170854447</v>
      </c>
    </row>
    <row r="37" spans="3:31" ht="12.75">
      <c r="C37" s="5" t="s">
        <v>44</v>
      </c>
      <c r="D37" s="5" t="str">
        <f>D36</f>
        <v>Rs. Crores</v>
      </c>
      <c r="E37" s="14"/>
      <c r="F37" s="14"/>
      <c r="G37" s="14">
        <f>F47*Input!$E$127*1/2</f>
        <v>2.5592844374999992</v>
      </c>
      <c r="H37" s="14">
        <f>G47*Input!$E$127</f>
        <v>5.303406084374999</v>
      </c>
      <c r="I37" s="14">
        <f>H47*Input!$E$127</f>
        <v>4.507895171718749</v>
      </c>
      <c r="J37" s="14">
        <f>I47*Input!$E$127</f>
        <v>3.831710895960937</v>
      </c>
      <c r="K37" s="14">
        <f>J47*Input!$E$127</f>
        <v>3.5569542615667964</v>
      </c>
      <c r="L37" s="14">
        <f>K47*Input!$E$127</f>
        <v>3.023411122331777</v>
      </c>
      <c r="M37" s="14">
        <f>L47*Input!$E$127</f>
        <v>2.5698994539820106</v>
      </c>
      <c r="N37" s="14">
        <f>M47*Input!$E$127</f>
        <v>2.709414535884709</v>
      </c>
      <c r="O37" s="14">
        <f>N47*Input!$E$127</f>
        <v>2.3030023555020027</v>
      </c>
      <c r="P37" s="14">
        <f>O47*Input!$E$127</f>
        <v>1.9575520021767023</v>
      </c>
      <c r="Q37" s="14">
        <f>P47*Input!$E$127</f>
        <v>1.9639192018501972</v>
      </c>
      <c r="R37" s="14">
        <f>Q47*Input!$E$127</f>
        <v>1.669331321572668</v>
      </c>
      <c r="S37" s="14">
        <f>R47*Input!$E$127</f>
        <v>1.4189316233367673</v>
      </c>
      <c r="T37" s="14">
        <f>S47*Input!$E$127</f>
        <v>1.7310918798362522</v>
      </c>
      <c r="U37" s="14">
        <f>T47*Input!$E$127</f>
        <v>1.4714280978608147</v>
      </c>
      <c r="V37" s="14">
        <f>U47*Input!$E$127</f>
        <v>1.2507138831816924</v>
      </c>
      <c r="W37" s="14">
        <f>V47*Input!$E$127</f>
        <v>1.3631068007044391</v>
      </c>
      <c r="X37" s="14">
        <f>W47*Input!$E$127</f>
        <v>1.1586407805987735</v>
      </c>
      <c r="Y37" s="14">
        <f>X47*Input!$E$127</f>
        <v>0.9848446635089576</v>
      </c>
      <c r="Z37" s="14">
        <f>Y47*Input!$E$127</f>
        <v>1.3621179639826138</v>
      </c>
      <c r="AA37" s="14">
        <f>Z47*Input!$E$127</f>
        <v>1.1578002693852218</v>
      </c>
      <c r="AB37" s="14">
        <f>AA47*Input!$E$127</f>
        <v>0.984130228977439</v>
      </c>
      <c r="AC37" s="14">
        <f>AB47*Input!$E$127</f>
        <v>1.1365106946308228</v>
      </c>
      <c r="AD37" s="14">
        <f>AC47*Input!$E$127</f>
        <v>0.9660340904361995</v>
      </c>
      <c r="AE37" s="14">
        <f>AD47*Input!$E$127</f>
        <v>0.82112897687077</v>
      </c>
    </row>
    <row r="38" spans="3:31" ht="12.75">
      <c r="C38" s="5" t="s">
        <v>45</v>
      </c>
      <c r="D38" s="5" t="str">
        <f>D37</f>
        <v>Rs. Crores</v>
      </c>
      <c r="E38" s="14"/>
      <c r="F38" s="14"/>
      <c r="G38" s="14">
        <f>F48*Input!$E$128*1/2</f>
        <v>0.11074105546874999</v>
      </c>
      <c r="H38" s="14">
        <f>G48*Input!$E$128</f>
        <v>0.2786983229296875</v>
      </c>
      <c r="I38" s="14">
        <f>H48*Input!$E$128</f>
        <v>0.23689357449023435</v>
      </c>
      <c r="J38" s="14">
        <f>I48*Input!$E$128</f>
        <v>0.2013595383166992</v>
      </c>
      <c r="K38" s="14">
        <f>J48*Input!$E$128</f>
        <v>0.18615560756919433</v>
      </c>
      <c r="L38" s="14">
        <f>K48*Input!$E$128</f>
        <v>0.1582322664338152</v>
      </c>
      <c r="M38" s="14">
        <f>L48*Input!$E$128</f>
        <v>0.1344974264687429</v>
      </c>
      <c r="N38" s="14">
        <f>M48*Input!$E$128</f>
        <v>0.11432281249843147</v>
      </c>
      <c r="O38" s="14">
        <f>N48*Input!$E$128</f>
        <v>0.09717439062366676</v>
      </c>
      <c r="P38" s="14">
        <f>O48*Input!$E$128</f>
        <v>0.09759823203011675</v>
      </c>
      <c r="Q38" s="14">
        <f>P48*Input!$E$128</f>
        <v>0.08295849722559924</v>
      </c>
      <c r="R38" s="14">
        <f>Q48*Input!$E$128</f>
        <v>0.07051472264175936</v>
      </c>
      <c r="S38" s="14">
        <f>R48*Input!$E$128</f>
        <v>0.059937514245495455</v>
      </c>
      <c r="T38" s="14">
        <f>S48*Input!$E$128</f>
        <v>0.050946887108671145</v>
      </c>
      <c r="U38" s="14">
        <f>T48*Input!$E$128</f>
        <v>0.08080485404237048</v>
      </c>
      <c r="V38" s="14">
        <f>U48*Input!$E$128</f>
        <v>0.0686841259360149</v>
      </c>
      <c r="W38" s="14">
        <f>V48*Input!$E$128</f>
        <v>0.058381507045612666</v>
      </c>
      <c r="X38" s="14">
        <f>W48*Input!$E$128</f>
        <v>0.04962428098877074</v>
      </c>
      <c r="Y38" s="14">
        <f>X48*Input!$E$128</f>
        <v>0.04218063884045515</v>
      </c>
      <c r="Z38" s="14">
        <f>Y48*Input!$E$128</f>
        <v>0.05085354301438687</v>
      </c>
      <c r="AA38" s="14">
        <f>Z48*Input!$E$128</f>
        <v>0.04322551156222885</v>
      </c>
      <c r="AB38" s="14">
        <f>AA48*Input!$E$128</f>
        <v>0.03674168482789455</v>
      </c>
      <c r="AC38" s="14">
        <f>AB48*Input!$E$128</f>
        <v>0.03123043210371037</v>
      </c>
      <c r="AD38" s="14">
        <f>AC48*Input!$E$128</f>
        <v>0.0265458672881538</v>
      </c>
      <c r="AE38" s="14">
        <f>AD48*Input!$E$128</f>
        <v>0.06006398719493073</v>
      </c>
    </row>
    <row r="39" spans="3:31" ht="12.75">
      <c r="C39" s="20" t="s">
        <v>77</v>
      </c>
      <c r="D39" s="20" t="str">
        <f>D38</f>
        <v>Rs. Crores</v>
      </c>
      <c r="E39" s="28">
        <f>SUM(E40:E43)</f>
        <v>0</v>
      </c>
      <c r="F39" s="28">
        <f>SUM(F40:F43)</f>
        <v>0</v>
      </c>
      <c r="G39" s="28">
        <f>SUM(G40:G43)</f>
        <v>3.0712181179687494</v>
      </c>
      <c r="H39" s="28">
        <f>SUM(H40:H43)</f>
        <v>9.683050262773437</v>
      </c>
      <c r="I39" s="28">
        <f>SUM(I40:I43)</f>
        <v>15.35459397273242</v>
      </c>
      <c r="J39" s="28">
        <f>SUM(J40:J43)</f>
        <v>20.22174387438506</v>
      </c>
      <c r="K39" s="28">
        <f>SUM(K40:K43)</f>
        <v>24.71552526415855</v>
      </c>
      <c r="L39" s="28">
        <f>SUM(L40:L43)</f>
        <v>28.572773021497888</v>
      </c>
      <c r="M39" s="28">
        <f>SUM(M40:M43)</f>
        <v>31.885213833665016</v>
      </c>
      <c r="N39" s="28">
        <f>SUM(N40:N43)</f>
        <v>35.2561907205929</v>
      </c>
      <c r="O39" s="28">
        <f>SUM(O40:O43)</f>
        <v>38.14888305140883</v>
      </c>
      <c r="P39" s="28">
        <f>SUM(P40:P43)</f>
        <v>40.64729731183688</v>
      </c>
      <c r="Q39" s="28">
        <f>SUM(Q40:Q43)</f>
        <v>43.293112634511786</v>
      </c>
      <c r="R39" s="28">
        <f aca="true" t="shared" si="28" ref="R39:AE39">SUM(R40:R43)</f>
        <v>45.572002539965425</v>
      </c>
      <c r="S39" s="28">
        <f t="shared" si="28"/>
        <v>47.53601115266297</v>
      </c>
      <c r="T39" s="28">
        <f t="shared" si="28"/>
        <v>49.754675447211646</v>
      </c>
      <c r="U39" s="28">
        <f t="shared" si="28"/>
        <v>51.69987137395821</v>
      </c>
      <c r="V39" s="28">
        <f t="shared" si="28"/>
        <v>53.37293606043495</v>
      </c>
      <c r="W39" s="28">
        <f t="shared" si="28"/>
        <v>55.112724377808135</v>
      </c>
      <c r="X39" s="28">
        <f t="shared" si="28"/>
        <v>56.60745944805651</v>
      </c>
      <c r="Y39" s="28">
        <f t="shared" si="28"/>
        <v>57.89230775820066</v>
      </c>
      <c r="Z39" s="28">
        <f t="shared" si="28"/>
        <v>59.73731997221292</v>
      </c>
      <c r="AA39" s="28">
        <f t="shared" si="28"/>
        <v>61.32718238947411</v>
      </c>
      <c r="AB39" s="28">
        <f t="shared" si="28"/>
        <v>62.698007275961814</v>
      </c>
      <c r="AC39" s="28">
        <f t="shared" si="28"/>
        <v>64.18070607811048</v>
      </c>
      <c r="AD39" s="28">
        <f t="shared" si="28"/>
        <v>65.45674794370754</v>
      </c>
      <c r="AE39" s="28">
        <f t="shared" si="28"/>
        <v>66.59305662485868</v>
      </c>
    </row>
    <row r="40" spans="3:31" ht="12.75">
      <c r="C40" s="5" t="s">
        <v>203</v>
      </c>
      <c r="D40" s="5" t="str">
        <f>D39</f>
        <v>Rs. Crores</v>
      </c>
      <c r="E40" s="14">
        <f>E35</f>
        <v>0</v>
      </c>
      <c r="F40" s="14">
        <f>E40+F35</f>
        <v>0</v>
      </c>
      <c r="G40" s="14">
        <f aca="true" t="shared" si="29" ref="G40:P40">F40+G35</f>
        <v>0</v>
      </c>
      <c r="H40" s="14">
        <f t="shared" si="29"/>
        <v>0</v>
      </c>
      <c r="I40" s="14">
        <f t="shared" si="29"/>
        <v>0</v>
      </c>
      <c r="J40" s="14">
        <f t="shared" si="29"/>
        <v>0</v>
      </c>
      <c r="K40" s="14">
        <f t="shared" si="29"/>
        <v>0</v>
      </c>
      <c r="L40" s="14">
        <f t="shared" si="29"/>
        <v>0</v>
      </c>
      <c r="M40" s="14">
        <f t="shared" si="29"/>
        <v>0</v>
      </c>
      <c r="N40" s="14">
        <f t="shared" si="29"/>
        <v>0</v>
      </c>
      <c r="O40" s="14">
        <f t="shared" si="29"/>
        <v>0</v>
      </c>
      <c r="P40" s="14">
        <f t="shared" si="29"/>
        <v>0</v>
      </c>
      <c r="Q40" s="14">
        <f>P40+Q35</f>
        <v>0</v>
      </c>
      <c r="R40" s="14">
        <f>Q40+R35</f>
        <v>0</v>
      </c>
      <c r="S40" s="14">
        <f>R40+S35</f>
        <v>0</v>
      </c>
      <c r="T40" s="14">
        <f>S40+T35</f>
        <v>0</v>
      </c>
      <c r="U40" s="14">
        <f>T40+U35</f>
        <v>0</v>
      </c>
      <c r="V40" s="14">
        <f>U40+V35</f>
        <v>0</v>
      </c>
      <c r="W40" s="14">
        <f>V40+W35</f>
        <v>0</v>
      </c>
      <c r="X40" s="14">
        <f>W40+X35</f>
        <v>0</v>
      </c>
      <c r="Y40" s="14">
        <f>X40+Y35</f>
        <v>0</v>
      </c>
      <c r="Z40" s="14">
        <f>Y40+Z35</f>
        <v>0</v>
      </c>
      <c r="AA40" s="14">
        <f>Z40+AA35</f>
        <v>0</v>
      </c>
      <c r="AB40" s="14">
        <f>AA40+AB35</f>
        <v>0</v>
      </c>
      <c r="AC40" s="14">
        <f>AB40+AC35</f>
        <v>0</v>
      </c>
      <c r="AD40" s="14">
        <f>AC40+AD35</f>
        <v>0</v>
      </c>
      <c r="AE40" s="14">
        <f>AD40+AE35</f>
        <v>0</v>
      </c>
    </row>
    <row r="41" spans="3:31" ht="12.75">
      <c r="C41" s="5" t="s">
        <v>43</v>
      </c>
      <c r="D41" s="5" t="str">
        <f>D40</f>
        <v>Rs. Crores</v>
      </c>
      <c r="E41" s="14">
        <f>E36</f>
        <v>0</v>
      </c>
      <c r="F41" s="14">
        <f aca="true" t="shared" si="30" ref="F41:P41">E41+F36</f>
        <v>0</v>
      </c>
      <c r="G41" s="14">
        <f t="shared" si="30"/>
        <v>0.401192625</v>
      </c>
      <c r="H41" s="14">
        <f t="shared" si="30"/>
        <v>1.4309203625</v>
      </c>
      <c r="I41" s="14">
        <f t="shared" si="30"/>
        <v>2.35767532625</v>
      </c>
      <c r="J41" s="14">
        <f t="shared" si="30"/>
        <v>3.191754793625</v>
      </c>
      <c r="K41" s="14">
        <f t="shared" si="30"/>
        <v>3.9424263142625</v>
      </c>
      <c r="L41" s="14">
        <f t="shared" si="30"/>
        <v>4.61803068283625</v>
      </c>
      <c r="M41" s="14">
        <f t="shared" si="30"/>
        <v>5.2260746145526245</v>
      </c>
      <c r="N41" s="14">
        <f t="shared" si="30"/>
        <v>5.773314153097362</v>
      </c>
      <c r="O41" s="14">
        <f t="shared" si="30"/>
        <v>6.265829737787627</v>
      </c>
      <c r="P41" s="14">
        <f t="shared" si="30"/>
        <v>6.709093764008864</v>
      </c>
      <c r="Q41" s="14">
        <f>P41+Q36</f>
        <v>7.308031387607978</v>
      </c>
      <c r="R41" s="14">
        <f>Q41+R36</f>
        <v>7.84707524884718</v>
      </c>
      <c r="S41" s="14">
        <f>R41+S36</f>
        <v>8.332214723962462</v>
      </c>
      <c r="T41" s="14">
        <f>S41+T36</f>
        <v>8.768840251566216</v>
      </c>
      <c r="U41" s="14">
        <f>T41+U36</f>
        <v>9.161803226409594</v>
      </c>
      <c r="V41" s="14">
        <f>U41+V36</f>
        <v>9.515469903768635</v>
      </c>
      <c r="W41" s="14">
        <f>V41+W36</f>
        <v>9.833769913391771</v>
      </c>
      <c r="X41" s="14">
        <f>W41+X36</f>
        <v>10.120239922052594</v>
      </c>
      <c r="Y41" s="14">
        <f>X41+Y36</f>
        <v>10.378062929847335</v>
      </c>
      <c r="Z41" s="14">
        <f>Y41+Z36</f>
        <v>10.810103636862602</v>
      </c>
      <c r="AA41" s="14">
        <f>Z41+AA36</f>
        <v>11.19894027317634</v>
      </c>
      <c r="AB41" s="14">
        <f>AA41+AB36</f>
        <v>11.548893245858707</v>
      </c>
      <c r="AC41" s="14">
        <f>AB41+AC36</f>
        <v>11.863850921272837</v>
      </c>
      <c r="AD41" s="14">
        <f>AC41+AD36</f>
        <v>12.147312829145553</v>
      </c>
      <c r="AE41" s="14">
        <f>AD41+AE36</f>
        <v>12.402428546230999</v>
      </c>
    </row>
    <row r="42" spans="3:31" ht="12.75">
      <c r="C42" s="5" t="s">
        <v>44</v>
      </c>
      <c r="D42" s="5" t="str">
        <f>D41</f>
        <v>Rs. Crores</v>
      </c>
      <c r="E42" s="14">
        <f>E37</f>
        <v>0</v>
      </c>
      <c r="F42" s="14">
        <f aca="true" t="shared" si="31" ref="F42:P42">E42+F37</f>
        <v>0</v>
      </c>
      <c r="G42" s="14">
        <f t="shared" si="31"/>
        <v>2.5592844374999992</v>
      </c>
      <c r="H42" s="14">
        <f t="shared" si="31"/>
        <v>7.862690521874999</v>
      </c>
      <c r="I42" s="14">
        <f t="shared" si="31"/>
        <v>12.370585693593748</v>
      </c>
      <c r="J42" s="14">
        <f t="shared" si="31"/>
        <v>16.202296589554685</v>
      </c>
      <c r="K42" s="14">
        <f t="shared" si="31"/>
        <v>19.759250851121482</v>
      </c>
      <c r="L42" s="14">
        <f t="shared" si="31"/>
        <v>22.78266197345326</v>
      </c>
      <c r="M42" s="14">
        <f t="shared" si="31"/>
        <v>25.35256142743527</v>
      </c>
      <c r="N42" s="14">
        <f t="shared" si="31"/>
        <v>28.061975963319977</v>
      </c>
      <c r="O42" s="14">
        <f t="shared" si="31"/>
        <v>30.36497831882198</v>
      </c>
      <c r="P42" s="14">
        <f t="shared" si="31"/>
        <v>32.32253032099868</v>
      </c>
      <c r="Q42" s="14">
        <f>P42+Q37</f>
        <v>34.286449522848876</v>
      </c>
      <c r="R42" s="14">
        <f>Q42+R37</f>
        <v>35.95578084442155</v>
      </c>
      <c r="S42" s="14">
        <f>R42+S37</f>
        <v>37.374712467758314</v>
      </c>
      <c r="T42" s="14">
        <f>S42+T37</f>
        <v>39.105804347594564</v>
      </c>
      <c r="U42" s="14">
        <f>T42+U37</f>
        <v>40.57723244545538</v>
      </c>
      <c r="V42" s="14">
        <f>U42+V37</f>
        <v>41.82794632863707</v>
      </c>
      <c r="W42" s="14">
        <f>V42+W37</f>
        <v>43.191053129341505</v>
      </c>
      <c r="X42" s="14">
        <f>W42+X37</f>
        <v>44.34969390994028</v>
      </c>
      <c r="Y42" s="14">
        <f>X42+Y37</f>
        <v>45.33453857344924</v>
      </c>
      <c r="Z42" s="14">
        <f>Y42+Z37</f>
        <v>46.69665653743185</v>
      </c>
      <c r="AA42" s="14">
        <f>Z42+AA37</f>
        <v>47.85445680681707</v>
      </c>
      <c r="AB42" s="14">
        <f>AA42+AB37</f>
        <v>48.83858703579451</v>
      </c>
      <c r="AC42" s="14">
        <f>AB42+AC37</f>
        <v>49.97509773042533</v>
      </c>
      <c r="AD42" s="14">
        <f>AC42+AD37</f>
        <v>50.94113182086153</v>
      </c>
      <c r="AE42" s="14">
        <f>AD42+AE37</f>
        <v>51.762260797732296</v>
      </c>
    </row>
    <row r="43" spans="3:31" ht="12.75">
      <c r="C43" s="5" t="s">
        <v>45</v>
      </c>
      <c r="D43" s="5" t="str">
        <f>D42</f>
        <v>Rs. Crores</v>
      </c>
      <c r="E43" s="14">
        <f>E38</f>
        <v>0</v>
      </c>
      <c r="F43" s="14">
        <f aca="true" t="shared" si="32" ref="F43:P43">E43+F38</f>
        <v>0</v>
      </c>
      <c r="G43" s="14">
        <f t="shared" si="32"/>
        <v>0.11074105546874999</v>
      </c>
      <c r="H43" s="14">
        <f t="shared" si="32"/>
        <v>0.38943937839843745</v>
      </c>
      <c r="I43" s="14">
        <f t="shared" si="32"/>
        <v>0.6263329528886719</v>
      </c>
      <c r="J43" s="14">
        <f t="shared" si="32"/>
        <v>0.827692491205371</v>
      </c>
      <c r="K43" s="14">
        <f t="shared" si="32"/>
        <v>1.0138480987745653</v>
      </c>
      <c r="L43" s="14">
        <f t="shared" si="32"/>
        <v>1.1720803652083804</v>
      </c>
      <c r="M43" s="14">
        <f t="shared" si="32"/>
        <v>1.3065777916771233</v>
      </c>
      <c r="N43" s="14">
        <f t="shared" si="32"/>
        <v>1.4209006041755547</v>
      </c>
      <c r="O43" s="14">
        <f t="shared" si="32"/>
        <v>1.5180749947992216</v>
      </c>
      <c r="P43" s="14">
        <f t="shared" si="32"/>
        <v>1.6156732268293383</v>
      </c>
      <c r="Q43" s="14">
        <f>P43+Q38</f>
        <v>1.6986317240549376</v>
      </c>
      <c r="R43" s="14">
        <f>Q43+R38</f>
        <v>1.7691464466966969</v>
      </c>
      <c r="S43" s="14">
        <f>R43+S38</f>
        <v>1.8290839609421923</v>
      </c>
      <c r="T43" s="14">
        <f>S43+T38</f>
        <v>1.8800308480508634</v>
      </c>
      <c r="U43" s="14">
        <f>T43+U38</f>
        <v>1.9608357020932339</v>
      </c>
      <c r="V43" s="14">
        <f>U43+V38</f>
        <v>2.029519828029249</v>
      </c>
      <c r="W43" s="14">
        <f>V43+W38</f>
        <v>2.0879013350748616</v>
      </c>
      <c r="X43" s="14">
        <f>W43+X38</f>
        <v>2.1375256160636322</v>
      </c>
      <c r="Y43" s="14">
        <f>X43+Y38</f>
        <v>2.1797062549040875</v>
      </c>
      <c r="Z43" s="14">
        <f>Y43+Z38</f>
        <v>2.2305597979184744</v>
      </c>
      <c r="AA43" s="14">
        <f>Z43+AA38</f>
        <v>2.273785309480703</v>
      </c>
      <c r="AB43" s="14">
        <f>AA43+AB38</f>
        <v>2.3105269943085975</v>
      </c>
      <c r="AC43" s="14">
        <f>AB43+AC38</f>
        <v>2.341757426412308</v>
      </c>
      <c r="AD43" s="14">
        <f>AC43+AD38</f>
        <v>2.3683032937004618</v>
      </c>
      <c r="AE43" s="14">
        <f>AD43+AE38</f>
        <v>2.4283672808953924</v>
      </c>
    </row>
    <row r="44" spans="3:31" ht="12.75">
      <c r="C44" s="20" t="s">
        <v>78</v>
      </c>
      <c r="D44" s="20" t="str">
        <f>D43</f>
        <v>Rs. Crores</v>
      </c>
      <c r="E44" s="28">
        <f>SUM(E45:E48)</f>
        <v>15.736701529464206</v>
      </c>
      <c r="F44" s="28">
        <f>SUM(F45:F48)</f>
        <v>46.2830894419642</v>
      </c>
      <c r="G44" s="28">
        <f>SUM(G45:G48)</f>
        <v>50.170203792745454</v>
      </c>
      <c r="H44" s="28">
        <f>SUM(H45:H48)</f>
        <v>43.55837164794077</v>
      </c>
      <c r="I44" s="28">
        <f>SUM(I45:I48)</f>
        <v>37.886827937981785</v>
      </c>
      <c r="J44" s="28">
        <f>SUM(J45:J48)</f>
        <v>35.11967803632914</v>
      </c>
      <c r="K44" s="28">
        <f>SUM(K45:K48)</f>
        <v>30.625896646555656</v>
      </c>
      <c r="L44" s="28">
        <f>SUM(L45:L48)</f>
        <v>26.768648889216312</v>
      </c>
      <c r="M44" s="28">
        <f>SUM(M45:M48)</f>
        <v>26.956208077049187</v>
      </c>
      <c r="N44" s="28">
        <f>SUM(N45:N48)</f>
        <v>23.585231190121306</v>
      </c>
      <c r="O44" s="28">
        <f>SUM(O45:O48)</f>
        <v>20.792538859305377</v>
      </c>
      <c r="P44" s="28">
        <f>SUM(P45:P48)</f>
        <v>22.294124598877318</v>
      </c>
      <c r="Q44" s="28">
        <f>SUM(Q45:Q48)</f>
        <v>19.64830927620241</v>
      </c>
      <c r="R44" s="28">
        <f aca="true" t="shared" si="33" ref="R44:AE44">SUM(R45:R48)</f>
        <v>17.369419370748776</v>
      </c>
      <c r="S44" s="28">
        <f t="shared" si="33"/>
        <v>18.905410758051236</v>
      </c>
      <c r="T44" s="28">
        <f t="shared" si="33"/>
        <v>16.93674646350256</v>
      </c>
      <c r="U44" s="28">
        <f t="shared" si="33"/>
        <v>14.991550536755994</v>
      </c>
      <c r="V44" s="28">
        <f t="shared" si="33"/>
        <v>15.31848585027925</v>
      </c>
      <c r="W44" s="28">
        <f t="shared" si="33"/>
        <v>13.578697532906064</v>
      </c>
      <c r="X44" s="28">
        <f t="shared" si="33"/>
        <v>12.083962462657698</v>
      </c>
      <c r="Y44" s="28">
        <f t="shared" si="33"/>
        <v>16.399114152513544</v>
      </c>
      <c r="Z44" s="28">
        <f t="shared" si="33"/>
        <v>14.554101938501278</v>
      </c>
      <c r="AA44" s="28">
        <f t="shared" si="33"/>
        <v>12.96423952124009</v>
      </c>
      <c r="AB44" s="28">
        <f t="shared" si="33"/>
        <v>13.593414634752387</v>
      </c>
      <c r="AC44" s="28">
        <f t="shared" si="33"/>
        <v>12.110715832603725</v>
      </c>
      <c r="AD44" s="28">
        <f t="shared" si="33"/>
        <v>11.084673967006658</v>
      </c>
      <c r="AE44" s="28">
        <f t="shared" si="33"/>
        <v>9.948365285855516</v>
      </c>
    </row>
    <row r="45" spans="3:31" ht="12.75">
      <c r="C45" s="5" t="s">
        <v>203</v>
      </c>
      <c r="D45" s="5" t="str">
        <f>D44</f>
        <v>Rs. Crores</v>
      </c>
      <c r="E45" s="14">
        <f>E30-E40</f>
        <v>2.658897035714206</v>
      </c>
      <c r="F45" s="14">
        <f aca="true" t="shared" si="34" ref="F45:O45">F30-F40</f>
        <v>2.658897035714206</v>
      </c>
      <c r="G45" s="14">
        <f t="shared" si="34"/>
        <v>2.658897035714206</v>
      </c>
      <c r="H45" s="14">
        <f t="shared" si="34"/>
        <v>2.658897035714206</v>
      </c>
      <c r="I45" s="14">
        <f t="shared" si="34"/>
        <v>2.658897035714206</v>
      </c>
      <c r="J45" s="14">
        <f t="shared" si="34"/>
        <v>2.658897035714206</v>
      </c>
      <c r="K45" s="14">
        <f t="shared" si="34"/>
        <v>2.658897035714206</v>
      </c>
      <c r="L45" s="14">
        <f t="shared" si="34"/>
        <v>2.658897035714206</v>
      </c>
      <c r="M45" s="14">
        <f t="shared" si="34"/>
        <v>2.658897035714206</v>
      </c>
      <c r="N45" s="14">
        <f t="shared" si="34"/>
        <v>2.658897035714206</v>
      </c>
      <c r="O45" s="14">
        <f t="shared" si="34"/>
        <v>2.658897035714206</v>
      </c>
      <c r="P45" s="14">
        <f>P30-P40</f>
        <v>2.658897035714206</v>
      </c>
      <c r="Q45" s="14">
        <f>Q30-Q40</f>
        <v>2.658897035714206</v>
      </c>
      <c r="R45" s="14">
        <f aca="true" t="shared" si="35" ref="R45:AE45">R30-R40</f>
        <v>2.658897035714206</v>
      </c>
      <c r="S45" s="14">
        <f t="shared" si="35"/>
        <v>2.658897035714206</v>
      </c>
      <c r="T45" s="14">
        <f t="shared" si="35"/>
        <v>2.658897035714206</v>
      </c>
      <c r="U45" s="14">
        <f t="shared" si="35"/>
        <v>2.658897035714206</v>
      </c>
      <c r="V45" s="14">
        <f t="shared" si="35"/>
        <v>2.658897035714206</v>
      </c>
      <c r="W45" s="14">
        <f t="shared" si="35"/>
        <v>2.658897035714206</v>
      </c>
      <c r="X45" s="14">
        <f t="shared" si="35"/>
        <v>2.658897035714206</v>
      </c>
      <c r="Y45" s="14">
        <f t="shared" si="35"/>
        <v>2.658897035714206</v>
      </c>
      <c r="Z45" s="14">
        <f t="shared" si="35"/>
        <v>2.658897035714206</v>
      </c>
      <c r="AA45" s="14">
        <f t="shared" si="35"/>
        <v>2.658897035714206</v>
      </c>
      <c r="AB45" s="14">
        <f t="shared" si="35"/>
        <v>2.658897035714206</v>
      </c>
      <c r="AC45" s="14">
        <f t="shared" si="35"/>
        <v>2.658897035714206</v>
      </c>
      <c r="AD45" s="14">
        <f t="shared" si="35"/>
        <v>2.658897035714206</v>
      </c>
      <c r="AE45" s="14">
        <f t="shared" si="35"/>
        <v>2.658897035714206</v>
      </c>
    </row>
    <row r="46" spans="3:31" ht="12.75">
      <c r="C46" s="5" t="s">
        <v>43</v>
      </c>
      <c r="D46" s="5" t="str">
        <f>D45</f>
        <v>Rs. Crores</v>
      </c>
      <c r="E46" s="14">
        <f aca="true" t="shared" si="36" ref="E46:O46">E31-E41</f>
        <v>1.6047705</v>
      </c>
      <c r="F46" s="14">
        <f t="shared" si="36"/>
        <v>8.0238525</v>
      </c>
      <c r="G46" s="14">
        <f t="shared" si="36"/>
        <v>10.297277375</v>
      </c>
      <c r="H46" s="14">
        <f t="shared" si="36"/>
        <v>9.2675496375</v>
      </c>
      <c r="I46" s="14">
        <f t="shared" si="36"/>
        <v>8.34079467375</v>
      </c>
      <c r="J46" s="14">
        <f t="shared" si="36"/>
        <v>7.5067152063750004</v>
      </c>
      <c r="K46" s="14">
        <f t="shared" si="36"/>
        <v>6.756043685737501</v>
      </c>
      <c r="L46" s="14">
        <f t="shared" si="36"/>
        <v>6.0804393171637505</v>
      </c>
      <c r="M46" s="14">
        <f t="shared" si="36"/>
        <v>5.472395385447376</v>
      </c>
      <c r="N46" s="14">
        <f t="shared" si="36"/>
        <v>4.925155846902638</v>
      </c>
      <c r="O46" s="14">
        <f t="shared" si="36"/>
        <v>4.432640262212374</v>
      </c>
      <c r="P46" s="14">
        <f>P31-P41</f>
        <v>5.989376235991136</v>
      </c>
      <c r="Q46" s="14">
        <f>Q31-Q41</f>
        <v>5.390438612392022</v>
      </c>
      <c r="R46" s="14">
        <f aca="true" t="shared" si="37" ref="R46:AE46">R31-R41</f>
        <v>4.85139475115282</v>
      </c>
      <c r="S46" s="14">
        <f t="shared" si="37"/>
        <v>4.366255276037538</v>
      </c>
      <c r="T46" s="14">
        <f t="shared" si="37"/>
        <v>3.9296297484337845</v>
      </c>
      <c r="U46" s="14">
        <f t="shared" si="37"/>
        <v>3.5366667735904063</v>
      </c>
      <c r="V46" s="14">
        <f t="shared" si="37"/>
        <v>3.183000096231366</v>
      </c>
      <c r="W46" s="14">
        <f t="shared" si="37"/>
        <v>2.864700086608229</v>
      </c>
      <c r="X46" s="14">
        <f t="shared" si="37"/>
        <v>2.5782300779474063</v>
      </c>
      <c r="Y46" s="14">
        <f t="shared" si="37"/>
        <v>4.320407070152665</v>
      </c>
      <c r="Z46" s="14">
        <f t="shared" si="37"/>
        <v>3.888366363137399</v>
      </c>
      <c r="AA46" s="14">
        <f t="shared" si="37"/>
        <v>3.49952972682366</v>
      </c>
      <c r="AB46" s="14">
        <f t="shared" si="37"/>
        <v>3.149576754141293</v>
      </c>
      <c r="AC46" s="14">
        <f t="shared" si="37"/>
        <v>2.8346190787271635</v>
      </c>
      <c r="AD46" s="14">
        <f t="shared" si="37"/>
        <v>2.551157170854447</v>
      </c>
      <c r="AE46" s="14">
        <f t="shared" si="37"/>
        <v>2.2960414537690017</v>
      </c>
    </row>
    <row r="47" spans="3:31" ht="12.75">
      <c r="C47" s="5" t="s">
        <v>44</v>
      </c>
      <c r="D47" s="5" t="str">
        <f>D46</f>
        <v>Rs. Crores</v>
      </c>
      <c r="E47" s="14">
        <f aca="true" t="shared" si="38" ref="E47:O47">E32-E42</f>
        <v>11.374597499999998</v>
      </c>
      <c r="F47" s="14">
        <f t="shared" si="38"/>
        <v>34.12379249999999</v>
      </c>
      <c r="G47" s="14">
        <f t="shared" si="38"/>
        <v>35.3560405625</v>
      </c>
      <c r="H47" s="14">
        <f t="shared" si="38"/>
        <v>30.052634478124997</v>
      </c>
      <c r="I47" s="14">
        <f t="shared" si="38"/>
        <v>25.54473930640625</v>
      </c>
      <c r="J47" s="14">
        <f t="shared" si="38"/>
        <v>23.71302841044531</v>
      </c>
      <c r="K47" s="14">
        <f t="shared" si="38"/>
        <v>20.156074148878513</v>
      </c>
      <c r="L47" s="14">
        <f t="shared" si="38"/>
        <v>17.132663026546737</v>
      </c>
      <c r="M47" s="14">
        <f t="shared" si="38"/>
        <v>18.062763572564727</v>
      </c>
      <c r="N47" s="14">
        <f t="shared" si="38"/>
        <v>15.353349036680019</v>
      </c>
      <c r="O47" s="14">
        <f t="shared" si="38"/>
        <v>13.050346681178016</v>
      </c>
      <c r="P47" s="14">
        <f>P32-P42</f>
        <v>13.092794679001315</v>
      </c>
      <c r="Q47" s="14">
        <f>Q32-Q42</f>
        <v>11.12887547715112</v>
      </c>
      <c r="R47" s="14">
        <f aca="true" t="shared" si="39" ref="R47:AE47">R32-R42</f>
        <v>9.459544155578449</v>
      </c>
      <c r="S47" s="14">
        <f t="shared" si="39"/>
        <v>11.540612532241681</v>
      </c>
      <c r="T47" s="14">
        <f t="shared" si="39"/>
        <v>9.809520652405432</v>
      </c>
      <c r="U47" s="14">
        <f t="shared" si="39"/>
        <v>8.338092554544616</v>
      </c>
      <c r="V47" s="14">
        <f t="shared" si="39"/>
        <v>9.087378671362927</v>
      </c>
      <c r="W47" s="14">
        <f t="shared" si="39"/>
        <v>7.724271870658491</v>
      </c>
      <c r="X47" s="14">
        <f t="shared" si="39"/>
        <v>6.565631090059718</v>
      </c>
      <c r="Y47" s="14">
        <f t="shared" si="39"/>
        <v>9.080786426550759</v>
      </c>
      <c r="Z47" s="14">
        <f t="shared" si="39"/>
        <v>7.7186684625681465</v>
      </c>
      <c r="AA47" s="14">
        <f t="shared" si="39"/>
        <v>6.560868193182927</v>
      </c>
      <c r="AB47" s="14">
        <f t="shared" si="39"/>
        <v>7.576737964205485</v>
      </c>
      <c r="AC47" s="14">
        <f t="shared" si="39"/>
        <v>6.440227269574663</v>
      </c>
      <c r="AD47" s="14">
        <f t="shared" si="39"/>
        <v>5.474193179138467</v>
      </c>
      <c r="AE47" s="14">
        <f t="shared" si="39"/>
        <v>4.6530642022677</v>
      </c>
    </row>
    <row r="48" spans="3:31" ht="12.75">
      <c r="C48" s="5" t="s">
        <v>45</v>
      </c>
      <c r="D48" s="5" t="str">
        <f>D47</f>
        <v>Rs. Crores</v>
      </c>
      <c r="E48" s="14">
        <f aca="true" t="shared" si="40" ref="E48:O48">E33-E43</f>
        <v>0.09843649375</v>
      </c>
      <c r="F48" s="14">
        <f t="shared" si="40"/>
        <v>1.47654740625</v>
      </c>
      <c r="G48" s="14">
        <f t="shared" si="40"/>
        <v>1.85798881953125</v>
      </c>
      <c r="H48" s="14">
        <f t="shared" si="40"/>
        <v>1.5792904966015624</v>
      </c>
      <c r="I48" s="14">
        <f t="shared" si="40"/>
        <v>1.342396922111328</v>
      </c>
      <c r="J48" s="14">
        <f t="shared" si="40"/>
        <v>1.241037383794629</v>
      </c>
      <c r="K48" s="14">
        <f t="shared" si="40"/>
        <v>1.0548817762254346</v>
      </c>
      <c r="L48" s="14">
        <f t="shared" si="40"/>
        <v>0.8966495097916194</v>
      </c>
      <c r="M48" s="14">
        <f t="shared" si="40"/>
        <v>0.7621520833228765</v>
      </c>
      <c r="N48" s="14">
        <f t="shared" si="40"/>
        <v>0.6478292708244451</v>
      </c>
      <c r="O48" s="14">
        <f t="shared" si="40"/>
        <v>0.6506548802007783</v>
      </c>
      <c r="P48" s="14">
        <f>P33-P43</f>
        <v>0.5530566481706616</v>
      </c>
      <c r="Q48" s="14">
        <f>Q33-Q43</f>
        <v>0.47009815094506235</v>
      </c>
      <c r="R48" s="14">
        <f aca="true" t="shared" si="41" ref="R48:AE48">R33-R43</f>
        <v>0.39958342830330307</v>
      </c>
      <c r="S48" s="14">
        <f t="shared" si="41"/>
        <v>0.33964591405780764</v>
      </c>
      <c r="T48" s="14">
        <f t="shared" si="41"/>
        <v>0.5386990269491365</v>
      </c>
      <c r="U48" s="14">
        <f t="shared" si="41"/>
        <v>0.45789417290676604</v>
      </c>
      <c r="V48" s="14">
        <f t="shared" si="41"/>
        <v>0.3892100469707511</v>
      </c>
      <c r="W48" s="14">
        <f t="shared" si="41"/>
        <v>0.3308285399251383</v>
      </c>
      <c r="X48" s="14">
        <f t="shared" si="41"/>
        <v>0.2812042589363677</v>
      </c>
      <c r="Y48" s="14">
        <f t="shared" si="41"/>
        <v>0.33902362009591247</v>
      </c>
      <c r="Z48" s="14">
        <f t="shared" si="41"/>
        <v>0.28817007708152564</v>
      </c>
      <c r="AA48" s="14">
        <f t="shared" si="41"/>
        <v>0.244944565519297</v>
      </c>
      <c r="AB48" s="14">
        <f t="shared" si="41"/>
        <v>0.20820288069140247</v>
      </c>
      <c r="AC48" s="14">
        <f t="shared" si="41"/>
        <v>0.176972448587692</v>
      </c>
      <c r="AD48" s="14">
        <f t="shared" si="41"/>
        <v>0.40042658129953823</v>
      </c>
      <c r="AE48" s="14">
        <f t="shared" si="41"/>
        <v>0.34036259410460756</v>
      </c>
    </row>
    <row r="50" ht="12.75">
      <c r="C50" s="1" t="s">
        <v>221</v>
      </c>
    </row>
    <row r="52" spans="3:31" ht="12.75">
      <c r="C52" s="59" t="s">
        <v>1</v>
      </c>
      <c r="D52" s="59" t="s">
        <v>2</v>
      </c>
      <c r="E52" s="60">
        <f>E4</f>
        <v>44651</v>
      </c>
      <c r="F52" s="60">
        <f aca="true" t="shared" si="42" ref="F52:Q52">F4</f>
        <v>45016</v>
      </c>
      <c r="G52" s="60">
        <f t="shared" si="42"/>
        <v>45382</v>
      </c>
      <c r="H52" s="60">
        <f t="shared" si="42"/>
        <v>45747</v>
      </c>
      <c r="I52" s="60">
        <f t="shared" si="42"/>
        <v>46112</v>
      </c>
      <c r="J52" s="60">
        <f t="shared" si="42"/>
        <v>46477</v>
      </c>
      <c r="K52" s="60">
        <f t="shared" si="42"/>
        <v>46843</v>
      </c>
      <c r="L52" s="60">
        <f t="shared" si="42"/>
        <v>47208</v>
      </c>
      <c r="M52" s="60">
        <f t="shared" si="42"/>
        <v>47573</v>
      </c>
      <c r="N52" s="60">
        <f t="shared" si="42"/>
        <v>47938</v>
      </c>
      <c r="O52" s="60">
        <f t="shared" si="42"/>
        <v>48304</v>
      </c>
      <c r="P52" s="60">
        <f t="shared" si="42"/>
        <v>48669</v>
      </c>
      <c r="Q52" s="60">
        <f t="shared" si="42"/>
        <v>49034</v>
      </c>
      <c r="R52" s="60">
        <f aca="true" t="shared" si="43" ref="R52:AE52">R4</f>
        <v>49399</v>
      </c>
      <c r="S52" s="60">
        <f t="shared" si="43"/>
        <v>49765</v>
      </c>
      <c r="T52" s="60">
        <f t="shared" si="43"/>
        <v>50130</v>
      </c>
      <c r="U52" s="60">
        <f t="shared" si="43"/>
        <v>50495</v>
      </c>
      <c r="V52" s="60">
        <f t="shared" si="43"/>
        <v>50860</v>
      </c>
      <c r="W52" s="60">
        <f t="shared" si="43"/>
        <v>51226</v>
      </c>
      <c r="X52" s="60">
        <f t="shared" si="43"/>
        <v>51591</v>
      </c>
      <c r="Y52" s="60">
        <f t="shared" si="43"/>
        <v>51956</v>
      </c>
      <c r="Z52" s="60">
        <f t="shared" si="43"/>
        <v>52321</v>
      </c>
      <c r="AA52" s="60">
        <f t="shared" si="43"/>
        <v>52687</v>
      </c>
      <c r="AB52" s="60">
        <f t="shared" si="43"/>
        <v>53052</v>
      </c>
      <c r="AC52" s="60">
        <f t="shared" si="43"/>
        <v>53417</v>
      </c>
      <c r="AD52" s="60">
        <f t="shared" si="43"/>
        <v>53782</v>
      </c>
      <c r="AE52" s="60">
        <f t="shared" si="43"/>
        <v>54148</v>
      </c>
    </row>
    <row r="53" spans="3:31" ht="12.75">
      <c r="C53" s="20" t="s">
        <v>75</v>
      </c>
      <c r="D53" s="20" t="str">
        <f>D48</f>
        <v>Rs. Crores</v>
      </c>
      <c r="E53" s="28">
        <f aca="true" t="shared" si="44" ref="E53:O53">SUM(E54:E56)</f>
        <v>13.07780449375</v>
      </c>
      <c r="F53" s="28">
        <f t="shared" si="44"/>
        <v>43.624192406249996</v>
      </c>
      <c r="G53" s="28">
        <f t="shared" si="44"/>
        <v>50.582524875</v>
      </c>
      <c r="H53" s="28">
        <f t="shared" si="44"/>
        <v>50.582524875</v>
      </c>
      <c r="I53" s="28">
        <f t="shared" si="44"/>
        <v>50.582524875</v>
      </c>
      <c r="J53" s="28">
        <f t="shared" si="44"/>
        <v>52.682524875</v>
      </c>
      <c r="K53" s="28">
        <f t="shared" si="44"/>
        <v>52.682524875</v>
      </c>
      <c r="L53" s="28">
        <f t="shared" si="44"/>
        <v>52.682524875</v>
      </c>
      <c r="M53" s="28">
        <f t="shared" si="44"/>
        <v>56.182524875</v>
      </c>
      <c r="N53" s="28">
        <f t="shared" si="44"/>
        <v>56.182524875</v>
      </c>
      <c r="O53" s="28">
        <f t="shared" si="44"/>
        <v>56.28252487499999</v>
      </c>
      <c r="P53" s="28">
        <f>SUM(P54:P56)</f>
        <v>60.28252487499999</v>
      </c>
      <c r="Q53" s="28">
        <f>SUM(Q54:Q56)</f>
        <v>60.28252487499999</v>
      </c>
      <c r="R53" s="28">
        <f aca="true" t="shared" si="45" ref="R53:AE53">SUM(R54:R56)</f>
        <v>60.28252487499999</v>
      </c>
      <c r="S53" s="28">
        <f t="shared" si="45"/>
        <v>63.78252487499999</v>
      </c>
      <c r="T53" s="28">
        <f t="shared" si="45"/>
        <v>64.032524875</v>
      </c>
      <c r="U53" s="28">
        <f t="shared" si="45"/>
        <v>64.032524875</v>
      </c>
      <c r="V53" s="28">
        <f t="shared" si="45"/>
        <v>66.032524875</v>
      </c>
      <c r="W53" s="28">
        <f t="shared" si="45"/>
        <v>66.032524875</v>
      </c>
      <c r="X53" s="28">
        <f t="shared" si="45"/>
        <v>66.032524875</v>
      </c>
      <c r="Y53" s="28">
        <f t="shared" si="45"/>
        <v>71.632524875</v>
      </c>
      <c r="Z53" s="28">
        <f t="shared" si="45"/>
        <v>71.632524875</v>
      </c>
      <c r="AA53" s="28">
        <f t="shared" si="45"/>
        <v>71.632524875</v>
      </c>
      <c r="AB53" s="28">
        <f t="shared" si="45"/>
        <v>73.632524875</v>
      </c>
      <c r="AC53" s="28">
        <f t="shared" si="45"/>
        <v>73.632524875</v>
      </c>
      <c r="AD53" s="28">
        <f t="shared" si="45"/>
        <v>73.882524875</v>
      </c>
      <c r="AE53" s="28">
        <f t="shared" si="45"/>
        <v>73.882524875</v>
      </c>
    </row>
    <row r="54" spans="3:31" ht="12.75">
      <c r="C54" s="5" t="s">
        <v>43</v>
      </c>
      <c r="D54" s="5" t="str">
        <f>D53</f>
        <v>Rs. Crores</v>
      </c>
      <c r="E54" s="14">
        <f aca="true" t="shared" si="46" ref="E54:O54">E31</f>
        <v>1.6047705</v>
      </c>
      <c r="F54" s="14">
        <f t="shared" si="46"/>
        <v>8.0238525</v>
      </c>
      <c r="G54" s="14">
        <f t="shared" si="46"/>
        <v>10.69847</v>
      </c>
      <c r="H54" s="14">
        <f t="shared" si="46"/>
        <v>10.69847</v>
      </c>
      <c r="I54" s="14">
        <f t="shared" si="46"/>
        <v>10.69847</v>
      </c>
      <c r="J54" s="14">
        <f t="shared" si="46"/>
        <v>10.69847</v>
      </c>
      <c r="K54" s="14">
        <f t="shared" si="46"/>
        <v>10.69847</v>
      </c>
      <c r="L54" s="14">
        <f t="shared" si="46"/>
        <v>10.69847</v>
      </c>
      <c r="M54" s="14">
        <f t="shared" si="46"/>
        <v>10.69847</v>
      </c>
      <c r="N54" s="14">
        <f t="shared" si="46"/>
        <v>10.69847</v>
      </c>
      <c r="O54" s="14">
        <f t="shared" si="46"/>
        <v>10.69847</v>
      </c>
      <c r="P54" s="14">
        <f>P31</f>
        <v>12.69847</v>
      </c>
      <c r="Q54" s="14">
        <f>Q31</f>
        <v>12.69847</v>
      </c>
      <c r="R54" s="14">
        <f aca="true" t="shared" si="47" ref="R54:AE54">R31</f>
        <v>12.69847</v>
      </c>
      <c r="S54" s="14">
        <f t="shared" si="47"/>
        <v>12.69847</v>
      </c>
      <c r="T54" s="14">
        <f t="shared" si="47"/>
        <v>12.69847</v>
      </c>
      <c r="U54" s="14">
        <f t="shared" si="47"/>
        <v>12.69847</v>
      </c>
      <c r="V54" s="14">
        <f t="shared" si="47"/>
        <v>12.69847</v>
      </c>
      <c r="W54" s="14">
        <f t="shared" si="47"/>
        <v>12.69847</v>
      </c>
      <c r="X54" s="14">
        <f t="shared" si="47"/>
        <v>12.69847</v>
      </c>
      <c r="Y54" s="14">
        <f t="shared" si="47"/>
        <v>14.69847</v>
      </c>
      <c r="Z54" s="14">
        <f t="shared" si="47"/>
        <v>14.69847</v>
      </c>
      <c r="AA54" s="14">
        <f t="shared" si="47"/>
        <v>14.69847</v>
      </c>
      <c r="AB54" s="14">
        <f t="shared" si="47"/>
        <v>14.69847</v>
      </c>
      <c r="AC54" s="14">
        <f t="shared" si="47"/>
        <v>14.69847</v>
      </c>
      <c r="AD54" s="14">
        <f t="shared" si="47"/>
        <v>14.69847</v>
      </c>
      <c r="AE54" s="14">
        <f t="shared" si="47"/>
        <v>14.69847</v>
      </c>
    </row>
    <row r="55" spans="3:31" ht="12.75">
      <c r="C55" s="5" t="s">
        <v>44</v>
      </c>
      <c r="D55" s="5" t="str">
        <f>D54</f>
        <v>Rs. Crores</v>
      </c>
      <c r="E55" s="14">
        <f aca="true" t="shared" si="48" ref="E55:O55">E32</f>
        <v>11.374597499999998</v>
      </c>
      <c r="F55" s="14">
        <f t="shared" si="48"/>
        <v>34.12379249999999</v>
      </c>
      <c r="G55" s="14">
        <f t="shared" si="48"/>
        <v>37.915324999999996</v>
      </c>
      <c r="H55" s="14">
        <f t="shared" si="48"/>
        <v>37.915324999999996</v>
      </c>
      <c r="I55" s="14">
        <f t="shared" si="48"/>
        <v>37.915324999999996</v>
      </c>
      <c r="J55" s="14">
        <f t="shared" si="48"/>
        <v>39.915324999999996</v>
      </c>
      <c r="K55" s="14">
        <f t="shared" si="48"/>
        <v>39.915324999999996</v>
      </c>
      <c r="L55" s="14">
        <f t="shared" si="48"/>
        <v>39.915324999999996</v>
      </c>
      <c r="M55" s="14">
        <f t="shared" si="48"/>
        <v>43.415324999999996</v>
      </c>
      <c r="N55" s="14">
        <f t="shared" si="48"/>
        <v>43.415324999999996</v>
      </c>
      <c r="O55" s="14">
        <f t="shared" si="48"/>
        <v>43.415324999999996</v>
      </c>
      <c r="P55" s="14">
        <f>P32</f>
        <v>45.415324999999996</v>
      </c>
      <c r="Q55" s="14">
        <f>Q32</f>
        <v>45.415324999999996</v>
      </c>
      <c r="R55" s="14">
        <f aca="true" t="shared" si="49" ref="R55:AE55">R32</f>
        <v>45.415324999999996</v>
      </c>
      <c r="S55" s="14">
        <f t="shared" si="49"/>
        <v>48.915324999999996</v>
      </c>
      <c r="T55" s="14">
        <f t="shared" si="49"/>
        <v>48.915324999999996</v>
      </c>
      <c r="U55" s="14">
        <f t="shared" si="49"/>
        <v>48.915324999999996</v>
      </c>
      <c r="V55" s="14">
        <f t="shared" si="49"/>
        <v>50.915324999999996</v>
      </c>
      <c r="W55" s="14">
        <f t="shared" si="49"/>
        <v>50.915324999999996</v>
      </c>
      <c r="X55" s="14">
        <f t="shared" si="49"/>
        <v>50.915324999999996</v>
      </c>
      <c r="Y55" s="14">
        <f t="shared" si="49"/>
        <v>54.415324999999996</v>
      </c>
      <c r="Z55" s="14">
        <f t="shared" si="49"/>
        <v>54.415324999999996</v>
      </c>
      <c r="AA55" s="14">
        <f t="shared" si="49"/>
        <v>54.415324999999996</v>
      </c>
      <c r="AB55" s="14">
        <f t="shared" si="49"/>
        <v>56.415324999999996</v>
      </c>
      <c r="AC55" s="14">
        <f t="shared" si="49"/>
        <v>56.415324999999996</v>
      </c>
      <c r="AD55" s="14">
        <f t="shared" si="49"/>
        <v>56.415324999999996</v>
      </c>
      <c r="AE55" s="14">
        <f t="shared" si="49"/>
        <v>56.415324999999996</v>
      </c>
    </row>
    <row r="56" spans="3:31" ht="12.75">
      <c r="C56" s="5" t="s">
        <v>45</v>
      </c>
      <c r="D56" s="5" t="str">
        <f>D55</f>
        <v>Rs. Crores</v>
      </c>
      <c r="E56" s="14">
        <f aca="true" t="shared" si="50" ref="E56:O56">E33</f>
        <v>0.09843649375</v>
      </c>
      <c r="F56" s="14">
        <f t="shared" si="50"/>
        <v>1.47654740625</v>
      </c>
      <c r="G56" s="14">
        <f t="shared" si="50"/>
        <v>1.968729875</v>
      </c>
      <c r="H56" s="14">
        <f t="shared" si="50"/>
        <v>1.968729875</v>
      </c>
      <c r="I56" s="14">
        <f t="shared" si="50"/>
        <v>1.968729875</v>
      </c>
      <c r="J56" s="14">
        <f t="shared" si="50"/>
        <v>2.068729875</v>
      </c>
      <c r="K56" s="14">
        <f t="shared" si="50"/>
        <v>2.068729875</v>
      </c>
      <c r="L56" s="14">
        <f t="shared" si="50"/>
        <v>2.068729875</v>
      </c>
      <c r="M56" s="14">
        <f t="shared" si="50"/>
        <v>2.068729875</v>
      </c>
      <c r="N56" s="14">
        <f t="shared" si="50"/>
        <v>2.068729875</v>
      </c>
      <c r="O56" s="14">
        <f t="shared" si="50"/>
        <v>2.168729875</v>
      </c>
      <c r="P56" s="14">
        <f>P33</f>
        <v>2.168729875</v>
      </c>
      <c r="Q56" s="14">
        <f>Q33</f>
        <v>2.168729875</v>
      </c>
      <c r="R56" s="14">
        <f aca="true" t="shared" si="51" ref="R56:AE56">R33</f>
        <v>2.168729875</v>
      </c>
      <c r="S56" s="14">
        <f t="shared" si="51"/>
        <v>2.168729875</v>
      </c>
      <c r="T56" s="14">
        <f t="shared" si="51"/>
        <v>2.418729875</v>
      </c>
      <c r="U56" s="14">
        <f t="shared" si="51"/>
        <v>2.418729875</v>
      </c>
      <c r="V56" s="14">
        <f t="shared" si="51"/>
        <v>2.418729875</v>
      </c>
      <c r="W56" s="14">
        <f t="shared" si="51"/>
        <v>2.418729875</v>
      </c>
      <c r="X56" s="14">
        <f t="shared" si="51"/>
        <v>2.418729875</v>
      </c>
      <c r="Y56" s="14">
        <f t="shared" si="51"/>
        <v>2.518729875</v>
      </c>
      <c r="Z56" s="14">
        <f t="shared" si="51"/>
        <v>2.518729875</v>
      </c>
      <c r="AA56" s="14">
        <f t="shared" si="51"/>
        <v>2.518729875</v>
      </c>
      <c r="AB56" s="14">
        <f t="shared" si="51"/>
        <v>2.518729875</v>
      </c>
      <c r="AC56" s="14">
        <f t="shared" si="51"/>
        <v>2.518729875</v>
      </c>
      <c r="AD56" s="14">
        <f t="shared" si="51"/>
        <v>2.768729875</v>
      </c>
      <c r="AE56" s="14">
        <f t="shared" si="51"/>
        <v>2.768729875</v>
      </c>
    </row>
    <row r="57" spans="3:31" ht="12.75">
      <c r="C57" s="20" t="s">
        <v>79</v>
      </c>
      <c r="D57" s="20" t="s">
        <v>10</v>
      </c>
      <c r="E57" s="31">
        <f>SUM(E58:E60)</f>
        <v>0.9999999999999999</v>
      </c>
      <c r="F57" s="31">
        <f aca="true" t="shared" si="52" ref="F57:O57">SUM(F58:F60)</f>
        <v>0.9999999999999999</v>
      </c>
      <c r="G57" s="31">
        <f t="shared" si="52"/>
        <v>1</v>
      </c>
      <c r="H57" s="31">
        <f t="shared" si="52"/>
        <v>0</v>
      </c>
      <c r="I57" s="31">
        <f t="shared" si="52"/>
        <v>0</v>
      </c>
      <c r="J57" s="31">
        <f t="shared" si="52"/>
        <v>0</v>
      </c>
      <c r="K57" s="31">
        <f t="shared" si="52"/>
        <v>0</v>
      </c>
      <c r="L57" s="31">
        <f t="shared" si="52"/>
        <v>0</v>
      </c>
      <c r="M57" s="31">
        <f t="shared" si="52"/>
        <v>0</v>
      </c>
      <c r="N57" s="31">
        <f t="shared" si="52"/>
        <v>0</v>
      </c>
      <c r="O57" s="31">
        <f t="shared" si="52"/>
        <v>0</v>
      </c>
      <c r="P57" s="31">
        <f>SUM(P58:P60)</f>
        <v>0</v>
      </c>
      <c r="Q57" s="31">
        <f>SUM(Q58:Q60)</f>
        <v>0</v>
      </c>
      <c r="R57" s="31">
        <f aca="true" t="shared" si="53" ref="R57:AE57">SUM(R58:R60)</f>
        <v>0</v>
      </c>
      <c r="S57" s="31">
        <f t="shared" si="53"/>
        <v>0</v>
      </c>
      <c r="T57" s="31">
        <f t="shared" si="53"/>
        <v>0</v>
      </c>
      <c r="U57" s="31">
        <f t="shared" si="53"/>
        <v>0</v>
      </c>
      <c r="V57" s="31">
        <f t="shared" si="53"/>
        <v>0</v>
      </c>
      <c r="W57" s="31">
        <f t="shared" si="53"/>
        <v>0</v>
      </c>
      <c r="X57" s="31">
        <f t="shared" si="53"/>
        <v>0</v>
      </c>
      <c r="Y57" s="31">
        <f t="shared" si="53"/>
        <v>0</v>
      </c>
      <c r="Z57" s="31">
        <f t="shared" si="53"/>
        <v>0</v>
      </c>
      <c r="AA57" s="31">
        <f t="shared" si="53"/>
        <v>0</v>
      </c>
      <c r="AB57" s="31">
        <f t="shared" si="53"/>
        <v>0</v>
      </c>
      <c r="AC57" s="31">
        <f t="shared" si="53"/>
        <v>0</v>
      </c>
      <c r="AD57" s="31">
        <f t="shared" si="53"/>
        <v>0</v>
      </c>
      <c r="AE57" s="31">
        <f t="shared" si="53"/>
        <v>0</v>
      </c>
    </row>
    <row r="58" spans="3:31" ht="12.75">
      <c r="C58" s="5" t="s">
        <v>43</v>
      </c>
      <c r="D58" s="5" t="s">
        <v>10</v>
      </c>
      <c r="E58" s="13">
        <f>E54/E53</f>
        <v>0.1227094731968913</v>
      </c>
      <c r="F58" s="13">
        <f>F54/F53</f>
        <v>0.18393125597095136</v>
      </c>
      <c r="G58" s="13">
        <f>G54/G53</f>
        <v>0.21150525851444069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3:31" ht="12.75">
      <c r="C59" s="5" t="s">
        <v>44</v>
      </c>
      <c r="D59" s="5" t="s">
        <v>10</v>
      </c>
      <c r="E59" s="13">
        <f>E55/E53</f>
        <v>0.869763537559842</v>
      </c>
      <c r="F59" s="13">
        <f>F55/F53</f>
        <v>0.7822217585651192</v>
      </c>
      <c r="G59" s="13">
        <f>G55/G53</f>
        <v>0.7495735947087793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3:31" ht="12.75">
      <c r="C60" s="5" t="s">
        <v>45</v>
      </c>
      <c r="D60" s="5" t="s">
        <v>10</v>
      </c>
      <c r="E60" s="13">
        <f>E56/E53</f>
        <v>0.007526989243266612</v>
      </c>
      <c r="F60" s="13">
        <f>F56/F53</f>
        <v>0.03384698546392933</v>
      </c>
      <c r="G60" s="13">
        <f>G56/G53</f>
        <v>0.03892114677677999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3:31" ht="12.75">
      <c r="C61" s="20" t="s">
        <v>80</v>
      </c>
      <c r="D61" s="20" t="str">
        <f>D53</f>
        <v>Rs. Crores</v>
      </c>
      <c r="E61" s="28">
        <f>Capex!E9+Capex!E10+Capex!E11</f>
        <v>2.737599187979817</v>
      </c>
      <c r="F61" s="28">
        <f>Capex!F9+Capex!F10+Capex!F11</f>
        <v>7.0840784682782365</v>
      </c>
      <c r="G61" s="28">
        <f>Capex!G9+Capex!G10+Capex!G11</f>
        <v>4.807112337514504</v>
      </c>
      <c r="H61" s="28">
        <f>Capex!H9+Capex!H10+Capex!H11</f>
        <v>0</v>
      </c>
      <c r="I61" s="28">
        <f>Capex!I9+Capex!I10+Capex!I11</f>
        <v>0</v>
      </c>
      <c r="J61" s="28">
        <f>Capex!J9+Capex!J10+Capex!J11</f>
        <v>0</v>
      </c>
      <c r="K61" s="28">
        <f>Capex!K9+Capex!K10+Capex!K11</f>
        <v>0</v>
      </c>
      <c r="L61" s="28">
        <f>Capex!L9+Capex!L10+Capex!L11</f>
        <v>0</v>
      </c>
      <c r="M61" s="28">
        <f>Capex!M9+Capex!M10+Capex!M11</f>
        <v>0</v>
      </c>
      <c r="N61" s="28">
        <f>Capex!N9+Capex!N10+Capex!N11</f>
        <v>0</v>
      </c>
      <c r="O61" s="28">
        <f>Capex!O9+Capex!O10+Capex!O11</f>
        <v>0</v>
      </c>
      <c r="P61" s="28">
        <f>Capex!P9+Capex!P10+Capex!P11</f>
        <v>0</v>
      </c>
      <c r="Q61" s="28">
        <f>P61</f>
        <v>0</v>
      </c>
      <c r="R61" s="28">
        <f aca="true" t="shared" si="54" ref="R61:AE61">Q61</f>
        <v>0</v>
      </c>
      <c r="S61" s="28">
        <f t="shared" si="54"/>
        <v>0</v>
      </c>
      <c r="T61" s="28">
        <f t="shared" si="54"/>
        <v>0</v>
      </c>
      <c r="U61" s="28">
        <f t="shared" si="54"/>
        <v>0</v>
      </c>
      <c r="V61" s="28">
        <f t="shared" si="54"/>
        <v>0</v>
      </c>
      <c r="W61" s="28">
        <f t="shared" si="54"/>
        <v>0</v>
      </c>
      <c r="X61" s="28">
        <f t="shared" si="54"/>
        <v>0</v>
      </c>
      <c r="Y61" s="28">
        <f t="shared" si="54"/>
        <v>0</v>
      </c>
      <c r="Z61" s="28">
        <f t="shared" si="54"/>
        <v>0</v>
      </c>
      <c r="AA61" s="28">
        <f t="shared" si="54"/>
        <v>0</v>
      </c>
      <c r="AB61" s="28">
        <f t="shared" si="54"/>
        <v>0</v>
      </c>
      <c r="AC61" s="28">
        <f t="shared" si="54"/>
        <v>0</v>
      </c>
      <c r="AD61" s="28">
        <f t="shared" si="54"/>
        <v>0</v>
      </c>
      <c r="AE61" s="28">
        <f t="shared" si="54"/>
        <v>0</v>
      </c>
    </row>
    <row r="62" spans="3:31" ht="12.75">
      <c r="C62" s="5" t="s">
        <v>43</v>
      </c>
      <c r="D62" s="5" t="str">
        <f>D61</f>
        <v>Rs. Crores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3:31" ht="12.75">
      <c r="C63" s="5" t="s">
        <v>44</v>
      </c>
      <c r="D63" s="5" t="str">
        <f>D62</f>
        <v>Rs. Crores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3:31" ht="12.75">
      <c r="C64" s="5" t="s">
        <v>45</v>
      </c>
      <c r="D64" s="5" t="str">
        <f>D63</f>
        <v>Rs. Crores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7" spans="5:7" ht="12.75">
      <c r="E67">
        <f>E66*E63</f>
        <v>0</v>
      </c>
      <c r="F67">
        <f>F66*F63</f>
        <v>0</v>
      </c>
      <c r="G67">
        <f>G66*G63</f>
        <v>0</v>
      </c>
    </row>
    <row r="68" spans="5:7" ht="12.75">
      <c r="E68">
        <f>E66*E64</f>
        <v>0</v>
      </c>
      <c r="F68">
        <f>F66*F64</f>
        <v>0</v>
      </c>
      <c r="G68">
        <f>G66*G64</f>
        <v>0</v>
      </c>
    </row>
    <row r="69" spans="5:7" ht="12.75">
      <c r="E69">
        <f>E66*E65</f>
        <v>0</v>
      </c>
      <c r="F69">
        <f>F66*F65</f>
        <v>0</v>
      </c>
      <c r="G69">
        <f>G66*G65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AE53"/>
  <sheetViews>
    <sheetView zoomScalePageLayoutView="0" workbookViewId="0" topLeftCell="M29">
      <selection activeCell="Q3" sqref="Q1:AE65536"/>
    </sheetView>
  </sheetViews>
  <sheetFormatPr defaultColWidth="9.140625" defaultRowHeight="12.75"/>
  <cols>
    <col min="1" max="2" width="9.140625" style="116" customWidth="1"/>
    <col min="3" max="3" width="30.57421875" style="116" bestFit="1" customWidth="1"/>
    <col min="4" max="4" width="10.00390625" style="116" bestFit="1" customWidth="1"/>
    <col min="5" max="13" width="12.28125" style="116" bestFit="1" customWidth="1"/>
    <col min="14" max="31" width="9.57421875" style="116" customWidth="1"/>
    <col min="32" max="16384" width="9.140625" style="116" customWidth="1"/>
  </cols>
  <sheetData>
    <row r="2" s="113" customFormat="1" ht="12.75">
      <c r="C2" s="112" t="s">
        <v>334</v>
      </c>
    </row>
    <row r="3" s="113" customFormat="1" ht="12.75"/>
    <row r="4" spans="3:31" s="113" customFormat="1" ht="12.75">
      <c r="C4" s="121" t="s">
        <v>1</v>
      </c>
      <c r="D4" s="121" t="s">
        <v>2</v>
      </c>
      <c r="E4" s="122">
        <f>Depreciation!E4</f>
        <v>44651</v>
      </c>
      <c r="F4" s="122">
        <f>Depreciation!F4</f>
        <v>45016</v>
      </c>
      <c r="G4" s="122">
        <f>Depreciation!G4</f>
        <v>45382</v>
      </c>
      <c r="H4" s="122">
        <f>Depreciation!H4</f>
        <v>45747</v>
      </c>
      <c r="I4" s="122">
        <f>Depreciation!I4</f>
        <v>46112</v>
      </c>
      <c r="J4" s="122">
        <f>Depreciation!J4</f>
        <v>46477</v>
      </c>
      <c r="K4" s="122">
        <f>Depreciation!K4</f>
        <v>46843</v>
      </c>
      <c r="L4" s="122">
        <f>Depreciation!L4</f>
        <v>47208</v>
      </c>
      <c r="M4" s="122">
        <f>Depreciation!M4</f>
        <v>47573</v>
      </c>
      <c r="N4" s="122">
        <f>Depreciation!N4</f>
        <v>47938</v>
      </c>
      <c r="O4" s="122">
        <f>Depreciation!O4</f>
        <v>48304</v>
      </c>
      <c r="P4" s="122">
        <f>Depreciation!P4</f>
        <v>48669</v>
      </c>
      <c r="Q4" s="122">
        <f>Depreciation!Q4</f>
        <v>49034</v>
      </c>
      <c r="R4" s="122">
        <f>Depreciation!R4</f>
        <v>49399</v>
      </c>
      <c r="S4" s="122">
        <f>Depreciation!S4</f>
        <v>49765</v>
      </c>
      <c r="T4" s="122">
        <f>Depreciation!T4</f>
        <v>50130</v>
      </c>
      <c r="U4" s="122">
        <f>Depreciation!U4</f>
        <v>50495</v>
      </c>
      <c r="V4" s="122">
        <f>Depreciation!V4</f>
        <v>50860</v>
      </c>
      <c r="W4" s="122">
        <f>Depreciation!W4</f>
        <v>51226</v>
      </c>
      <c r="X4" s="122">
        <f>Depreciation!X4</f>
        <v>51591</v>
      </c>
      <c r="Y4" s="122">
        <f>Depreciation!Y4</f>
        <v>51956</v>
      </c>
      <c r="Z4" s="122">
        <f>Depreciation!Z4</f>
        <v>52321</v>
      </c>
      <c r="AA4" s="122">
        <f>Depreciation!AA4</f>
        <v>52687</v>
      </c>
      <c r="AB4" s="122">
        <f>Depreciation!AB4</f>
        <v>53052</v>
      </c>
      <c r="AC4" s="122">
        <f>Depreciation!AC4</f>
        <v>53417</v>
      </c>
      <c r="AD4" s="122">
        <f>Depreciation!AD4</f>
        <v>53782</v>
      </c>
      <c r="AE4" s="122">
        <f>Depreciation!AE4</f>
        <v>54148</v>
      </c>
    </row>
    <row r="5" spans="3:31" ht="12.75">
      <c r="C5" s="114" t="s">
        <v>92</v>
      </c>
      <c r="D5" s="114" t="str">
        <f>'[1]Depreciation'!D5</f>
        <v>Rs. Crores</v>
      </c>
      <c r="E5" s="115">
        <f>'P&amp;L'!E28</f>
        <v>0</v>
      </c>
      <c r="F5" s="115">
        <f>'P&amp;L'!F28</f>
        <v>0</v>
      </c>
      <c r="G5" s="115">
        <f>'P&amp;L'!G28</f>
        <v>7.708170947785558</v>
      </c>
      <c r="H5" s="115">
        <f>'P&amp;L'!H28</f>
        <v>5.796844281890472</v>
      </c>
      <c r="I5" s="115">
        <f>'P&amp;L'!I28</f>
        <v>7.24957293580821</v>
      </c>
      <c r="J5" s="115">
        <f>'P&amp;L'!J28</f>
        <v>8.518310214682998</v>
      </c>
      <c r="K5" s="115">
        <f>'P&amp;L'!K28</f>
        <v>8.912786847308968</v>
      </c>
      <c r="L5" s="115">
        <f>'P&amp;L'!L28</f>
        <v>9.297396438441279</v>
      </c>
      <c r="M5" s="115">
        <f>'P&amp;L'!M28</f>
        <v>9.393617752821367</v>
      </c>
      <c r="N5" s="115">
        <f>'P&amp;L'!N28</f>
        <v>9.75352621898412</v>
      </c>
      <c r="O5" s="115">
        <f>'P&amp;L'!O28</f>
        <v>10.093905697331191</v>
      </c>
      <c r="P5" s="115">
        <f>'P&amp;L'!P28</f>
        <v>10.290274686943391</v>
      </c>
      <c r="Q5" s="115">
        <f>'P&amp;L'!Q28</f>
        <v>10.792090718176954</v>
      </c>
      <c r="R5" s="115">
        <f>'P&amp;L'!R28</f>
        <v>10.857750315035624</v>
      </c>
      <c r="S5" s="115">
        <f>'P&amp;L'!S28</f>
        <v>10.438273436896736</v>
      </c>
      <c r="T5" s="115">
        <f>'P&amp;L'!T28</f>
        <v>10.294084261890038</v>
      </c>
      <c r="U5" s="115">
        <f>'P&amp;L'!U28</f>
        <v>10.168382150530295</v>
      </c>
      <c r="V5" s="115">
        <f>'P&amp;L'!V28</f>
        <v>9.856306553138783</v>
      </c>
      <c r="W5" s="115">
        <f>'P&amp;L'!W28</f>
        <v>9.720964055957431</v>
      </c>
      <c r="X5" s="115">
        <f>'P&amp;L'!X28</f>
        <v>9.581942750004927</v>
      </c>
      <c r="Y5" s="115">
        <f>'P&amp;L'!Y28</f>
        <v>8.900150862939043</v>
      </c>
      <c r="Z5" s="115">
        <f>'P&amp;L'!Z28</f>
        <v>8.745201124824739</v>
      </c>
      <c r="AA5" s="115">
        <f>'P&amp;L'!AA28</f>
        <v>8.586055083604482</v>
      </c>
      <c r="AB5" s="115">
        <f>'P&amp;L'!AB28</f>
        <v>8.219671417907392</v>
      </c>
      <c r="AC5" s="115">
        <f>'P&amp;L'!AC28</f>
        <v>8.048564832356192</v>
      </c>
      <c r="AD5" s="115">
        <f>'P&amp;L'!AD28</f>
        <v>7.846531042612874</v>
      </c>
      <c r="AE5" s="115">
        <f>'P&amp;L'!AE28</f>
        <v>7.665622297309284</v>
      </c>
    </row>
    <row r="6" spans="3:31" ht="12.75">
      <c r="C6" s="114" t="s">
        <v>177</v>
      </c>
      <c r="D6" s="114" t="str">
        <f>D5</f>
        <v>Rs. Crores</v>
      </c>
      <c r="E6" s="115">
        <f>Depreciation!E10</f>
        <v>0</v>
      </c>
      <c r="F6" s="115">
        <f>Depreciation!F10</f>
        <v>0</v>
      </c>
      <c r="G6" s="115">
        <f>Depreciation!G10</f>
        <v>2.0233009949999996</v>
      </c>
      <c r="H6" s="115">
        <f>Depreciation!H10</f>
        <v>2.0233009949999996</v>
      </c>
      <c r="I6" s="115">
        <f>Depreciation!I10</f>
        <v>2.0233009949999996</v>
      </c>
      <c r="J6" s="115">
        <f>Depreciation!J10</f>
        <v>2.1073009949999997</v>
      </c>
      <c r="K6" s="115">
        <f>Depreciation!K10</f>
        <v>2.1073009949999997</v>
      </c>
      <c r="L6" s="115">
        <f>Depreciation!L10</f>
        <v>2.1073009949999997</v>
      </c>
      <c r="M6" s="115">
        <f>Depreciation!M10</f>
        <v>2.247300995</v>
      </c>
      <c r="N6" s="115">
        <f>Depreciation!N10</f>
        <v>2.247300995</v>
      </c>
      <c r="O6" s="115">
        <f>Depreciation!O10</f>
        <v>2.251300995</v>
      </c>
      <c r="P6" s="115">
        <f>Depreciation!P10</f>
        <v>2.411300995</v>
      </c>
      <c r="Q6" s="115">
        <f>Depreciation!Q10</f>
        <v>2.411300995</v>
      </c>
      <c r="R6" s="115">
        <f>Depreciation!R10</f>
        <v>2.411300995</v>
      </c>
      <c r="S6" s="115">
        <f>Depreciation!S10</f>
        <v>2.5513009949999996</v>
      </c>
      <c r="T6" s="115">
        <f>Depreciation!T10</f>
        <v>2.561300995</v>
      </c>
      <c r="U6" s="115">
        <f>Depreciation!U10</f>
        <v>2.561300995</v>
      </c>
      <c r="V6" s="115">
        <f>Depreciation!V10</f>
        <v>2.641300995</v>
      </c>
      <c r="W6" s="115">
        <f>Depreciation!W10</f>
        <v>2.641300995</v>
      </c>
      <c r="X6" s="115">
        <f>Depreciation!X10</f>
        <v>2.641300995</v>
      </c>
      <c r="Y6" s="115">
        <f>Depreciation!Y10</f>
        <v>2.8653009949999997</v>
      </c>
      <c r="Z6" s="115">
        <f>Depreciation!Z10</f>
        <v>2.8653009949999997</v>
      </c>
      <c r="AA6" s="115">
        <f>Depreciation!AA10</f>
        <v>2.8653009949999997</v>
      </c>
      <c r="AB6" s="115">
        <f>Depreciation!AB10</f>
        <v>2.9453009949999998</v>
      </c>
      <c r="AC6" s="115">
        <f>Depreciation!AC10</f>
        <v>2.9453009949999998</v>
      </c>
      <c r="AD6" s="115">
        <f>Depreciation!AD10</f>
        <v>2.9553009949999995</v>
      </c>
      <c r="AE6" s="115">
        <f>Depreciation!AE10</f>
        <v>2.9553009949999995</v>
      </c>
    </row>
    <row r="7" spans="3:31" ht="12.75">
      <c r="C7" s="114" t="s">
        <v>178</v>
      </c>
      <c r="D7" s="114" t="str">
        <f>D6</f>
        <v>Rs. Crores</v>
      </c>
      <c r="E7" s="115">
        <f>Depreciation!E34</f>
        <v>0</v>
      </c>
      <c r="F7" s="115">
        <f>Depreciation!F34</f>
        <v>0</v>
      </c>
      <c r="G7" s="115">
        <f>Depreciation!G34</f>
        <v>3.0712181179687494</v>
      </c>
      <c r="H7" s="115">
        <f>Depreciation!H34</f>
        <v>6.611832144804687</v>
      </c>
      <c r="I7" s="115">
        <f>Depreciation!I34</f>
        <v>5.671543709958983</v>
      </c>
      <c r="J7" s="115">
        <f>Depreciation!J34</f>
        <v>4.867149901652636</v>
      </c>
      <c r="K7" s="115">
        <f>Depreciation!K34</f>
        <v>4.493781389773491</v>
      </c>
      <c r="L7" s="115">
        <f>Depreciation!L34</f>
        <v>3.8572477573393424</v>
      </c>
      <c r="M7" s="115">
        <f>Depreciation!M34</f>
        <v>3.3124408121671287</v>
      </c>
      <c r="N7" s="115">
        <f>Depreciation!N34</f>
        <v>3.370976886927878</v>
      </c>
      <c r="O7" s="115">
        <f>Depreciation!O34</f>
        <v>2.892692330815933</v>
      </c>
      <c r="P7" s="115">
        <f>Depreciation!P34</f>
        <v>2.4984142604280564</v>
      </c>
      <c r="Q7" s="115">
        <f>Depreciation!Q34</f>
        <v>2.64581532267491</v>
      </c>
      <c r="R7" s="115">
        <f>Depreciation!R34</f>
        <v>2.27888990545363</v>
      </c>
      <c r="S7" s="115">
        <f>Depreciation!S34</f>
        <v>1.9640086126975447</v>
      </c>
      <c r="T7" s="115">
        <f>Depreciation!T34</f>
        <v>2.218664294548677</v>
      </c>
      <c r="U7" s="115">
        <f>Depreciation!U34</f>
        <v>1.9451959267465637</v>
      </c>
      <c r="V7" s="115">
        <f>Depreciation!V34</f>
        <v>1.673064686476748</v>
      </c>
      <c r="W7" s="115">
        <f>Depreciation!W34</f>
        <v>1.7397883173731883</v>
      </c>
      <c r="X7" s="115">
        <f>Depreciation!X34</f>
        <v>1.4947350702483673</v>
      </c>
      <c r="Y7" s="115">
        <f>Depreciation!Y34</f>
        <v>1.2848483101441535</v>
      </c>
      <c r="Z7" s="115">
        <f>Depreciation!Z34</f>
        <v>1.8450122140122671</v>
      </c>
      <c r="AA7" s="115">
        <f>Depreciation!AA34</f>
        <v>1.5898624172611906</v>
      </c>
      <c r="AB7" s="115">
        <f>Depreciation!AB34</f>
        <v>1.3708248864876995</v>
      </c>
      <c r="AC7" s="115">
        <f>Depreciation!AC34</f>
        <v>1.4826988021486627</v>
      </c>
      <c r="AD7" s="115">
        <f>Depreciation!AD34</f>
        <v>1.2760418655970696</v>
      </c>
      <c r="AE7" s="115">
        <f>Depreciation!AE34</f>
        <v>1.1363086811511454</v>
      </c>
    </row>
    <row r="8" spans="3:31" ht="12.75">
      <c r="C8" s="114" t="s">
        <v>179</v>
      </c>
      <c r="D8" s="114" t="str">
        <f>D7</f>
        <v>Rs. Crores</v>
      </c>
      <c r="E8" s="115">
        <f>E5+E6-E7</f>
        <v>0</v>
      </c>
      <c r="F8" s="115">
        <f aca="true" t="shared" si="0" ref="F8:O8">F5+F6-F7</f>
        <v>0</v>
      </c>
      <c r="G8" s="115">
        <f t="shared" si="0"/>
        <v>6.660253824816808</v>
      </c>
      <c r="H8" s="115">
        <f t="shared" si="0"/>
        <v>1.2083131320857845</v>
      </c>
      <c r="I8" s="115">
        <f t="shared" si="0"/>
        <v>3.601330220849227</v>
      </c>
      <c r="J8" s="115">
        <f t="shared" si="0"/>
        <v>5.758461308030362</v>
      </c>
      <c r="K8" s="115">
        <f t="shared" si="0"/>
        <v>6.526306452535477</v>
      </c>
      <c r="L8" s="115">
        <f t="shared" si="0"/>
        <v>7.547449676101936</v>
      </c>
      <c r="M8" s="115">
        <f t="shared" si="0"/>
        <v>8.328477935654238</v>
      </c>
      <c r="N8" s="115">
        <f t="shared" si="0"/>
        <v>8.629850327056243</v>
      </c>
      <c r="O8" s="115">
        <f t="shared" si="0"/>
        <v>9.452514361515258</v>
      </c>
      <c r="P8" s="115">
        <f>P5+P6-P7</f>
        <v>10.203161421515334</v>
      </c>
      <c r="Q8" s="115">
        <f>Q5+Q6-Q7</f>
        <v>10.557576390502044</v>
      </c>
      <c r="R8" s="115">
        <f aca="true" t="shared" si="1" ref="R8:AE8">R5+R6-R7</f>
        <v>10.990161404581993</v>
      </c>
      <c r="S8" s="115">
        <f t="shared" si="1"/>
        <v>11.025565819199192</v>
      </c>
      <c r="T8" s="115">
        <f t="shared" si="1"/>
        <v>10.63672096234136</v>
      </c>
      <c r="U8" s="115">
        <f t="shared" si="1"/>
        <v>10.784487218783731</v>
      </c>
      <c r="V8" s="115">
        <f t="shared" si="1"/>
        <v>10.824542861662035</v>
      </c>
      <c r="W8" s="115">
        <f t="shared" si="1"/>
        <v>10.622476733584243</v>
      </c>
      <c r="X8" s="115">
        <f t="shared" si="1"/>
        <v>10.72850867475656</v>
      </c>
      <c r="Y8" s="115">
        <f t="shared" si="1"/>
        <v>10.480603547794889</v>
      </c>
      <c r="Z8" s="115">
        <f t="shared" si="1"/>
        <v>9.765489905812473</v>
      </c>
      <c r="AA8" s="115">
        <f t="shared" si="1"/>
        <v>9.86149366134329</v>
      </c>
      <c r="AB8" s="115">
        <f t="shared" si="1"/>
        <v>9.794147526419692</v>
      </c>
      <c r="AC8" s="115">
        <f t="shared" si="1"/>
        <v>9.511167025207529</v>
      </c>
      <c r="AD8" s="115">
        <f t="shared" si="1"/>
        <v>9.525790172015805</v>
      </c>
      <c r="AE8" s="115">
        <f t="shared" si="1"/>
        <v>9.484614611158138</v>
      </c>
    </row>
    <row r="9" spans="3:31" ht="12.75">
      <c r="C9" s="114" t="s">
        <v>180</v>
      </c>
      <c r="D9" s="114" t="str">
        <f>D8</f>
        <v>Rs. Crores</v>
      </c>
      <c r="E9" s="115">
        <f>E38</f>
        <v>0</v>
      </c>
      <c r="F9" s="115">
        <f aca="true" t="shared" si="2" ref="F9:O9">F38</f>
        <v>0</v>
      </c>
      <c r="G9" s="115">
        <f t="shared" si="2"/>
        <v>0</v>
      </c>
      <c r="H9" s="115">
        <f t="shared" si="2"/>
        <v>0</v>
      </c>
      <c r="I9" s="115">
        <f t="shared" si="2"/>
        <v>0</v>
      </c>
      <c r="J9" s="115">
        <f t="shared" si="2"/>
        <v>0</v>
      </c>
      <c r="K9" s="115">
        <f t="shared" si="2"/>
        <v>0</v>
      </c>
      <c r="L9" s="115">
        <f t="shared" si="2"/>
        <v>0</v>
      </c>
      <c r="M9" s="115">
        <f t="shared" si="2"/>
        <v>0</v>
      </c>
      <c r="N9" s="115">
        <f t="shared" si="2"/>
        <v>0</v>
      </c>
      <c r="O9" s="115">
        <f t="shared" si="2"/>
        <v>0</v>
      </c>
      <c r="P9" s="115">
        <f>P38</f>
        <v>0</v>
      </c>
      <c r="Q9" s="115">
        <f>Q38</f>
        <v>0</v>
      </c>
      <c r="R9" s="115">
        <f aca="true" t="shared" si="3" ref="R9:AE9">R38</f>
        <v>0</v>
      </c>
      <c r="S9" s="115">
        <f t="shared" si="3"/>
        <v>0</v>
      </c>
      <c r="T9" s="115">
        <f t="shared" si="3"/>
        <v>0</v>
      </c>
      <c r="U9" s="115">
        <f t="shared" si="3"/>
        <v>0</v>
      </c>
      <c r="V9" s="115">
        <f t="shared" si="3"/>
        <v>0</v>
      </c>
      <c r="W9" s="115">
        <f t="shared" si="3"/>
        <v>0</v>
      </c>
      <c r="X9" s="115">
        <f t="shared" si="3"/>
        <v>0</v>
      </c>
      <c r="Y9" s="115">
        <f t="shared" si="3"/>
        <v>0</v>
      </c>
      <c r="Z9" s="115">
        <f t="shared" si="3"/>
        <v>0</v>
      </c>
      <c r="AA9" s="115">
        <f t="shared" si="3"/>
        <v>0</v>
      </c>
      <c r="AB9" s="115">
        <f t="shared" si="3"/>
        <v>0</v>
      </c>
      <c r="AC9" s="115">
        <f t="shared" si="3"/>
        <v>0</v>
      </c>
      <c r="AD9" s="115">
        <f t="shared" si="3"/>
        <v>0</v>
      </c>
      <c r="AE9" s="115">
        <f t="shared" si="3"/>
        <v>0</v>
      </c>
    </row>
    <row r="10" spans="3:31" ht="12.75">
      <c r="C10" s="114" t="s">
        <v>181</v>
      </c>
      <c r="D10" s="114" t="str">
        <f>D9</f>
        <v>Rs. Crores</v>
      </c>
      <c r="E10" s="115">
        <f>IF((E8-E9)&lt;=0,0,(E8-E9))</f>
        <v>0</v>
      </c>
      <c r="F10" s="115">
        <f aca="true" t="shared" si="4" ref="F10:O10">IF((F8-F9)&lt;=0,0,(F8-F9))</f>
        <v>0</v>
      </c>
      <c r="G10" s="115">
        <f t="shared" si="4"/>
        <v>6.660253824816808</v>
      </c>
      <c r="H10" s="115">
        <f t="shared" si="4"/>
        <v>1.2083131320857845</v>
      </c>
      <c r="I10" s="115">
        <f t="shared" si="4"/>
        <v>3.601330220849227</v>
      </c>
      <c r="J10" s="115">
        <f t="shared" si="4"/>
        <v>5.758461308030362</v>
      </c>
      <c r="K10" s="115">
        <f t="shared" si="4"/>
        <v>6.526306452535477</v>
      </c>
      <c r="L10" s="115">
        <f t="shared" si="4"/>
        <v>7.547449676101936</v>
      </c>
      <c r="M10" s="115">
        <f t="shared" si="4"/>
        <v>8.328477935654238</v>
      </c>
      <c r="N10" s="115">
        <f t="shared" si="4"/>
        <v>8.629850327056243</v>
      </c>
      <c r="O10" s="115">
        <f t="shared" si="4"/>
        <v>9.452514361515258</v>
      </c>
      <c r="P10" s="115">
        <f>IF((P8-P9)&lt;=0,0,(P8-P9))</f>
        <v>10.203161421515334</v>
      </c>
      <c r="Q10" s="115">
        <f>IF((Q8-Q9)&lt;=0,0,(Q8-Q9))</f>
        <v>10.557576390502044</v>
      </c>
      <c r="R10" s="115">
        <f aca="true" t="shared" si="5" ref="R10:AE10">IF((R8-R9)&lt;=0,0,(R8-R9))</f>
        <v>10.990161404581993</v>
      </c>
      <c r="S10" s="115">
        <f t="shared" si="5"/>
        <v>11.025565819199192</v>
      </c>
      <c r="T10" s="115">
        <f t="shared" si="5"/>
        <v>10.63672096234136</v>
      </c>
      <c r="U10" s="115">
        <f t="shared" si="5"/>
        <v>10.784487218783731</v>
      </c>
      <c r="V10" s="115">
        <f t="shared" si="5"/>
        <v>10.824542861662035</v>
      </c>
      <c r="W10" s="115">
        <f t="shared" si="5"/>
        <v>10.622476733584243</v>
      </c>
      <c r="X10" s="115">
        <f t="shared" si="5"/>
        <v>10.72850867475656</v>
      </c>
      <c r="Y10" s="115">
        <f t="shared" si="5"/>
        <v>10.480603547794889</v>
      </c>
      <c r="Z10" s="115">
        <f t="shared" si="5"/>
        <v>9.765489905812473</v>
      </c>
      <c r="AA10" s="115">
        <f t="shared" si="5"/>
        <v>9.86149366134329</v>
      </c>
      <c r="AB10" s="115">
        <f t="shared" si="5"/>
        <v>9.794147526419692</v>
      </c>
      <c r="AC10" s="115">
        <f t="shared" si="5"/>
        <v>9.511167025207529</v>
      </c>
      <c r="AD10" s="115">
        <f t="shared" si="5"/>
        <v>9.525790172015805</v>
      </c>
      <c r="AE10" s="115">
        <f t="shared" si="5"/>
        <v>9.484614611158138</v>
      </c>
    </row>
    <row r="11" spans="3:31" ht="12.75">
      <c r="C11" s="114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3:31" ht="12.75">
      <c r="C12" s="20" t="s">
        <v>37</v>
      </c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3:31" ht="12.75">
      <c r="C13" s="114" t="s">
        <v>335</v>
      </c>
      <c r="D13" s="114" t="s">
        <v>10</v>
      </c>
      <c r="E13" s="117">
        <f>IF(E5&lt;250,25%,30%)</f>
        <v>0.25</v>
      </c>
      <c r="F13" s="117">
        <f aca="true" t="shared" si="6" ref="F13:O13">IF(F5&lt;250,25%,30%)</f>
        <v>0.25</v>
      </c>
      <c r="G13" s="117">
        <f t="shared" si="6"/>
        <v>0.25</v>
      </c>
      <c r="H13" s="117">
        <f t="shared" si="6"/>
        <v>0.25</v>
      </c>
      <c r="I13" s="117">
        <f t="shared" si="6"/>
        <v>0.25</v>
      </c>
      <c r="J13" s="117">
        <f t="shared" si="6"/>
        <v>0.25</v>
      </c>
      <c r="K13" s="117">
        <f t="shared" si="6"/>
        <v>0.25</v>
      </c>
      <c r="L13" s="117">
        <f t="shared" si="6"/>
        <v>0.25</v>
      </c>
      <c r="M13" s="117">
        <f t="shared" si="6"/>
        <v>0.25</v>
      </c>
      <c r="N13" s="117">
        <f t="shared" si="6"/>
        <v>0.25</v>
      </c>
      <c r="O13" s="117">
        <f t="shared" si="6"/>
        <v>0.25</v>
      </c>
      <c r="P13" s="117">
        <f>IF(P5&lt;250,25%,30%)</f>
        <v>0.25</v>
      </c>
      <c r="Q13" s="117">
        <f>IF(Q5&lt;250,25%,30%)</f>
        <v>0.25</v>
      </c>
      <c r="R13" s="117">
        <f aca="true" t="shared" si="7" ref="R13:AE13">IF(R5&lt;250,25%,30%)</f>
        <v>0.25</v>
      </c>
      <c r="S13" s="117">
        <f t="shared" si="7"/>
        <v>0.25</v>
      </c>
      <c r="T13" s="117">
        <f t="shared" si="7"/>
        <v>0.25</v>
      </c>
      <c r="U13" s="117">
        <f t="shared" si="7"/>
        <v>0.25</v>
      </c>
      <c r="V13" s="117">
        <f t="shared" si="7"/>
        <v>0.25</v>
      </c>
      <c r="W13" s="117">
        <f t="shared" si="7"/>
        <v>0.25</v>
      </c>
      <c r="X13" s="117">
        <f t="shared" si="7"/>
        <v>0.25</v>
      </c>
      <c r="Y13" s="117">
        <f t="shared" si="7"/>
        <v>0.25</v>
      </c>
      <c r="Z13" s="117">
        <f t="shared" si="7"/>
        <v>0.25</v>
      </c>
      <c r="AA13" s="117">
        <f t="shared" si="7"/>
        <v>0.25</v>
      </c>
      <c r="AB13" s="117">
        <f t="shared" si="7"/>
        <v>0.25</v>
      </c>
      <c r="AC13" s="117">
        <f t="shared" si="7"/>
        <v>0.25</v>
      </c>
      <c r="AD13" s="117">
        <f t="shared" si="7"/>
        <v>0.25</v>
      </c>
      <c r="AE13" s="117">
        <f t="shared" si="7"/>
        <v>0.25</v>
      </c>
    </row>
    <row r="14" spans="3:31" ht="12.75">
      <c r="C14" s="114" t="s">
        <v>336</v>
      </c>
      <c r="D14" s="114" t="s">
        <v>10</v>
      </c>
      <c r="E14" s="117">
        <f>IF(E$5&lt;1,0%,IF(E$5&lt;10,7%,12%))</f>
        <v>0</v>
      </c>
      <c r="F14" s="117">
        <f aca="true" t="shared" si="8" ref="F14:AE14">IF(F$5&lt;1,0%,IF(F$5&lt;10,7%,12%))</f>
        <v>0</v>
      </c>
      <c r="G14" s="117">
        <f t="shared" si="8"/>
        <v>0.07</v>
      </c>
      <c r="H14" s="117">
        <f t="shared" si="8"/>
        <v>0.07</v>
      </c>
      <c r="I14" s="117">
        <f t="shared" si="8"/>
        <v>0.07</v>
      </c>
      <c r="J14" s="117">
        <f t="shared" si="8"/>
        <v>0.07</v>
      </c>
      <c r="K14" s="117">
        <f t="shared" si="8"/>
        <v>0.07</v>
      </c>
      <c r="L14" s="117">
        <f t="shared" si="8"/>
        <v>0.07</v>
      </c>
      <c r="M14" s="117">
        <f t="shared" si="8"/>
        <v>0.07</v>
      </c>
      <c r="N14" s="117">
        <f t="shared" si="8"/>
        <v>0.07</v>
      </c>
      <c r="O14" s="117">
        <f t="shared" si="8"/>
        <v>0.12</v>
      </c>
      <c r="P14" s="117">
        <f t="shared" si="8"/>
        <v>0.12</v>
      </c>
      <c r="Q14" s="117">
        <f t="shared" si="8"/>
        <v>0.12</v>
      </c>
      <c r="R14" s="117">
        <f t="shared" si="8"/>
        <v>0.12</v>
      </c>
      <c r="S14" s="117">
        <f t="shared" si="8"/>
        <v>0.12</v>
      </c>
      <c r="T14" s="117">
        <f t="shared" si="8"/>
        <v>0.12</v>
      </c>
      <c r="U14" s="117">
        <f t="shared" si="8"/>
        <v>0.12</v>
      </c>
      <c r="V14" s="117">
        <f t="shared" si="8"/>
        <v>0.07</v>
      </c>
      <c r="W14" s="117">
        <f t="shared" si="8"/>
        <v>0.07</v>
      </c>
      <c r="X14" s="117">
        <f t="shared" si="8"/>
        <v>0.07</v>
      </c>
      <c r="Y14" s="117">
        <f t="shared" si="8"/>
        <v>0.07</v>
      </c>
      <c r="Z14" s="117">
        <f t="shared" si="8"/>
        <v>0.07</v>
      </c>
      <c r="AA14" s="117">
        <f t="shared" si="8"/>
        <v>0.07</v>
      </c>
      <c r="AB14" s="117">
        <f t="shared" si="8"/>
        <v>0.07</v>
      </c>
      <c r="AC14" s="117">
        <f t="shared" si="8"/>
        <v>0.07</v>
      </c>
      <c r="AD14" s="117">
        <f t="shared" si="8"/>
        <v>0.07</v>
      </c>
      <c r="AE14" s="117">
        <f t="shared" si="8"/>
        <v>0.07</v>
      </c>
    </row>
    <row r="15" spans="3:31" ht="12.75">
      <c r="C15" s="114" t="s">
        <v>337</v>
      </c>
      <c r="D15" s="114" t="s">
        <v>10</v>
      </c>
      <c r="E15" s="117">
        <v>0.04</v>
      </c>
      <c r="F15" s="117">
        <f>E15</f>
        <v>0.04</v>
      </c>
      <c r="G15" s="117">
        <f aca="true" t="shared" si="9" ref="G15:O15">F15</f>
        <v>0.04</v>
      </c>
      <c r="H15" s="117">
        <f t="shared" si="9"/>
        <v>0.04</v>
      </c>
      <c r="I15" s="117">
        <f t="shared" si="9"/>
        <v>0.04</v>
      </c>
      <c r="J15" s="117">
        <f t="shared" si="9"/>
        <v>0.04</v>
      </c>
      <c r="K15" s="117">
        <f t="shared" si="9"/>
        <v>0.04</v>
      </c>
      <c r="L15" s="117">
        <f t="shared" si="9"/>
        <v>0.04</v>
      </c>
      <c r="M15" s="117">
        <f t="shared" si="9"/>
        <v>0.04</v>
      </c>
      <c r="N15" s="117">
        <f t="shared" si="9"/>
        <v>0.04</v>
      </c>
      <c r="O15" s="117">
        <f t="shared" si="9"/>
        <v>0.04</v>
      </c>
      <c r="P15" s="117">
        <f>O15</f>
        <v>0.04</v>
      </c>
      <c r="Q15" s="117">
        <f>P15</f>
        <v>0.04</v>
      </c>
      <c r="R15" s="117">
        <f>Q15</f>
        <v>0.04</v>
      </c>
      <c r="S15" s="117">
        <f>R15</f>
        <v>0.04</v>
      </c>
      <c r="T15" s="117">
        <f>S15</f>
        <v>0.04</v>
      </c>
      <c r="U15" s="117">
        <f>T15</f>
        <v>0.04</v>
      </c>
      <c r="V15" s="117">
        <f>U15</f>
        <v>0.04</v>
      </c>
      <c r="W15" s="117">
        <f>V15</f>
        <v>0.04</v>
      </c>
      <c r="X15" s="117">
        <f>W15</f>
        <v>0.04</v>
      </c>
      <c r="Y15" s="117">
        <f>X15</f>
        <v>0.04</v>
      </c>
      <c r="Z15" s="117">
        <f>Y15</f>
        <v>0.04</v>
      </c>
      <c r="AA15" s="117">
        <f>Z15</f>
        <v>0.04</v>
      </c>
      <c r="AB15" s="117">
        <f>AA15</f>
        <v>0.04</v>
      </c>
      <c r="AC15" s="117">
        <f>AB15</f>
        <v>0.04</v>
      </c>
      <c r="AD15" s="117">
        <f>AC15</f>
        <v>0.04</v>
      </c>
      <c r="AE15" s="117">
        <f>AD15</f>
        <v>0.04</v>
      </c>
    </row>
    <row r="16" spans="3:31" ht="12.75">
      <c r="C16" s="114" t="s">
        <v>338</v>
      </c>
      <c r="D16" s="114" t="s">
        <v>10</v>
      </c>
      <c r="E16" s="117">
        <f>E13*(1+E14)*(1+E15)</f>
        <v>0.26</v>
      </c>
      <c r="F16" s="117">
        <f aca="true" t="shared" si="10" ref="F16:O16">F13*(1+F14)*(1+F15)</f>
        <v>0.26</v>
      </c>
      <c r="G16" s="117">
        <f t="shared" si="10"/>
        <v>0.2782</v>
      </c>
      <c r="H16" s="117">
        <f t="shared" si="10"/>
        <v>0.2782</v>
      </c>
      <c r="I16" s="117">
        <f t="shared" si="10"/>
        <v>0.2782</v>
      </c>
      <c r="J16" s="117">
        <f t="shared" si="10"/>
        <v>0.2782</v>
      </c>
      <c r="K16" s="117">
        <f t="shared" si="10"/>
        <v>0.2782</v>
      </c>
      <c r="L16" s="117">
        <f t="shared" si="10"/>
        <v>0.2782</v>
      </c>
      <c r="M16" s="117">
        <f t="shared" si="10"/>
        <v>0.2782</v>
      </c>
      <c r="N16" s="117">
        <f t="shared" si="10"/>
        <v>0.2782</v>
      </c>
      <c r="O16" s="117">
        <f t="shared" si="10"/>
        <v>0.2912</v>
      </c>
      <c r="P16" s="117">
        <f>P13*(1+P14)*(1+P15)</f>
        <v>0.2912</v>
      </c>
      <c r="Q16" s="117">
        <f>Q13*(1+Q14)*(1+Q15)</f>
        <v>0.2912</v>
      </c>
      <c r="R16" s="117">
        <f aca="true" t="shared" si="11" ref="R16:AE16">R13*(1+R14)*(1+R15)</f>
        <v>0.2912</v>
      </c>
      <c r="S16" s="117">
        <f t="shared" si="11"/>
        <v>0.2912</v>
      </c>
      <c r="T16" s="117">
        <f t="shared" si="11"/>
        <v>0.2912</v>
      </c>
      <c r="U16" s="117">
        <f t="shared" si="11"/>
        <v>0.2912</v>
      </c>
      <c r="V16" s="117">
        <f t="shared" si="11"/>
        <v>0.2782</v>
      </c>
      <c r="W16" s="117">
        <f t="shared" si="11"/>
        <v>0.2782</v>
      </c>
      <c r="X16" s="117">
        <f t="shared" si="11"/>
        <v>0.2782</v>
      </c>
      <c r="Y16" s="117">
        <f t="shared" si="11"/>
        <v>0.2782</v>
      </c>
      <c r="Z16" s="117">
        <f t="shared" si="11"/>
        <v>0.2782</v>
      </c>
      <c r="AA16" s="117">
        <f t="shared" si="11"/>
        <v>0.2782</v>
      </c>
      <c r="AB16" s="117">
        <f t="shared" si="11"/>
        <v>0.2782</v>
      </c>
      <c r="AC16" s="117">
        <f t="shared" si="11"/>
        <v>0.2782</v>
      </c>
      <c r="AD16" s="117">
        <f t="shared" si="11"/>
        <v>0.2782</v>
      </c>
      <c r="AE16" s="117">
        <f t="shared" si="11"/>
        <v>0.2782</v>
      </c>
    </row>
    <row r="17" spans="3:31" ht="12.75">
      <c r="C17" s="20" t="s">
        <v>339</v>
      </c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3:31" ht="12.75">
      <c r="C18" s="114" t="s">
        <v>335</v>
      </c>
      <c r="D18" s="114" t="s">
        <v>10</v>
      </c>
      <c r="E18" s="117">
        <v>0.185</v>
      </c>
      <c r="F18" s="117">
        <f>E18</f>
        <v>0.185</v>
      </c>
      <c r="G18" s="117">
        <f aca="true" t="shared" si="12" ref="G18:O18">F18</f>
        <v>0.185</v>
      </c>
      <c r="H18" s="117">
        <f t="shared" si="12"/>
        <v>0.185</v>
      </c>
      <c r="I18" s="117">
        <f t="shared" si="12"/>
        <v>0.185</v>
      </c>
      <c r="J18" s="117">
        <f t="shared" si="12"/>
        <v>0.185</v>
      </c>
      <c r="K18" s="117">
        <f t="shared" si="12"/>
        <v>0.185</v>
      </c>
      <c r="L18" s="117">
        <f t="shared" si="12"/>
        <v>0.185</v>
      </c>
      <c r="M18" s="117">
        <f t="shared" si="12"/>
        <v>0.185</v>
      </c>
      <c r="N18" s="117">
        <f t="shared" si="12"/>
        <v>0.185</v>
      </c>
      <c r="O18" s="117">
        <f t="shared" si="12"/>
        <v>0.185</v>
      </c>
      <c r="P18" s="117">
        <f>O18</f>
        <v>0.185</v>
      </c>
      <c r="Q18" s="117">
        <f>P18</f>
        <v>0.185</v>
      </c>
      <c r="R18" s="117">
        <f>Q18</f>
        <v>0.185</v>
      </c>
      <c r="S18" s="117">
        <f>R18</f>
        <v>0.185</v>
      </c>
      <c r="T18" s="117">
        <f>S18</f>
        <v>0.185</v>
      </c>
      <c r="U18" s="117">
        <f>T18</f>
        <v>0.185</v>
      </c>
      <c r="V18" s="117">
        <f>U18</f>
        <v>0.185</v>
      </c>
      <c r="W18" s="117">
        <f>V18</f>
        <v>0.185</v>
      </c>
      <c r="X18" s="117">
        <f>W18</f>
        <v>0.185</v>
      </c>
      <c r="Y18" s="117">
        <f>X18</f>
        <v>0.185</v>
      </c>
      <c r="Z18" s="117">
        <f>Y18</f>
        <v>0.185</v>
      </c>
      <c r="AA18" s="117">
        <f>Z18</f>
        <v>0.185</v>
      </c>
      <c r="AB18" s="117">
        <f>AA18</f>
        <v>0.185</v>
      </c>
      <c r="AC18" s="117">
        <f>AB18</f>
        <v>0.185</v>
      </c>
      <c r="AD18" s="117">
        <f>AC18</f>
        <v>0.185</v>
      </c>
      <c r="AE18" s="117">
        <f>AD18</f>
        <v>0.185</v>
      </c>
    </row>
    <row r="19" spans="3:31" ht="12.75">
      <c r="C19" s="114" t="s">
        <v>336</v>
      </c>
      <c r="D19" s="114" t="s">
        <v>10</v>
      </c>
      <c r="E19" s="117">
        <f>IF(E$5&lt;1,0%,IF(E$5&lt;10,7%,12%))</f>
        <v>0</v>
      </c>
      <c r="F19" s="117">
        <f aca="true" t="shared" si="13" ref="F19:AE19">IF(F$5&lt;1,0%,IF(F$5&lt;10,7%,12%))</f>
        <v>0</v>
      </c>
      <c r="G19" s="117">
        <f t="shared" si="13"/>
        <v>0.07</v>
      </c>
      <c r="H19" s="117">
        <f t="shared" si="13"/>
        <v>0.07</v>
      </c>
      <c r="I19" s="117">
        <f t="shared" si="13"/>
        <v>0.07</v>
      </c>
      <c r="J19" s="117">
        <f t="shared" si="13"/>
        <v>0.07</v>
      </c>
      <c r="K19" s="117">
        <f t="shared" si="13"/>
        <v>0.07</v>
      </c>
      <c r="L19" s="117">
        <f t="shared" si="13"/>
        <v>0.07</v>
      </c>
      <c r="M19" s="117">
        <f t="shared" si="13"/>
        <v>0.07</v>
      </c>
      <c r="N19" s="117">
        <f t="shared" si="13"/>
        <v>0.07</v>
      </c>
      <c r="O19" s="117">
        <f t="shared" si="13"/>
        <v>0.12</v>
      </c>
      <c r="P19" s="117">
        <f t="shared" si="13"/>
        <v>0.12</v>
      </c>
      <c r="Q19" s="117">
        <f t="shared" si="13"/>
        <v>0.12</v>
      </c>
      <c r="R19" s="117">
        <f t="shared" si="13"/>
        <v>0.12</v>
      </c>
      <c r="S19" s="117">
        <f t="shared" si="13"/>
        <v>0.12</v>
      </c>
      <c r="T19" s="117">
        <f t="shared" si="13"/>
        <v>0.12</v>
      </c>
      <c r="U19" s="117">
        <f t="shared" si="13"/>
        <v>0.12</v>
      </c>
      <c r="V19" s="117">
        <f t="shared" si="13"/>
        <v>0.07</v>
      </c>
      <c r="W19" s="117">
        <f t="shared" si="13"/>
        <v>0.07</v>
      </c>
      <c r="X19" s="117">
        <f t="shared" si="13"/>
        <v>0.07</v>
      </c>
      <c r="Y19" s="117">
        <f t="shared" si="13"/>
        <v>0.07</v>
      </c>
      <c r="Z19" s="117">
        <f t="shared" si="13"/>
        <v>0.07</v>
      </c>
      <c r="AA19" s="117">
        <f t="shared" si="13"/>
        <v>0.07</v>
      </c>
      <c r="AB19" s="117">
        <f t="shared" si="13"/>
        <v>0.07</v>
      </c>
      <c r="AC19" s="117">
        <f t="shared" si="13"/>
        <v>0.07</v>
      </c>
      <c r="AD19" s="117">
        <f t="shared" si="13"/>
        <v>0.07</v>
      </c>
      <c r="AE19" s="117">
        <f t="shared" si="13"/>
        <v>0.07</v>
      </c>
    </row>
    <row r="20" spans="3:31" ht="12.75">
      <c r="C20" s="114" t="s">
        <v>337</v>
      </c>
      <c r="D20" s="114" t="s">
        <v>10</v>
      </c>
      <c r="E20" s="117">
        <f>E15</f>
        <v>0.04</v>
      </c>
      <c r="F20" s="117">
        <f aca="true" t="shared" si="14" ref="F20:O20">F15</f>
        <v>0.04</v>
      </c>
      <c r="G20" s="117">
        <f t="shared" si="14"/>
        <v>0.04</v>
      </c>
      <c r="H20" s="117">
        <f t="shared" si="14"/>
        <v>0.04</v>
      </c>
      <c r="I20" s="117">
        <f t="shared" si="14"/>
        <v>0.04</v>
      </c>
      <c r="J20" s="117">
        <f t="shared" si="14"/>
        <v>0.04</v>
      </c>
      <c r="K20" s="117">
        <f t="shared" si="14"/>
        <v>0.04</v>
      </c>
      <c r="L20" s="117">
        <f t="shared" si="14"/>
        <v>0.04</v>
      </c>
      <c r="M20" s="117">
        <f t="shared" si="14"/>
        <v>0.04</v>
      </c>
      <c r="N20" s="117">
        <f t="shared" si="14"/>
        <v>0.04</v>
      </c>
      <c r="O20" s="117">
        <f t="shared" si="14"/>
        <v>0.04</v>
      </c>
      <c r="P20" s="117">
        <f>P15</f>
        <v>0.04</v>
      </c>
      <c r="Q20" s="117">
        <f>Q15</f>
        <v>0.04</v>
      </c>
      <c r="R20" s="117">
        <f aca="true" t="shared" si="15" ref="R20:AE20">R15</f>
        <v>0.04</v>
      </c>
      <c r="S20" s="117">
        <f t="shared" si="15"/>
        <v>0.04</v>
      </c>
      <c r="T20" s="117">
        <f t="shared" si="15"/>
        <v>0.04</v>
      </c>
      <c r="U20" s="117">
        <f t="shared" si="15"/>
        <v>0.04</v>
      </c>
      <c r="V20" s="117">
        <f t="shared" si="15"/>
        <v>0.04</v>
      </c>
      <c r="W20" s="117">
        <f t="shared" si="15"/>
        <v>0.04</v>
      </c>
      <c r="X20" s="117">
        <f t="shared" si="15"/>
        <v>0.04</v>
      </c>
      <c r="Y20" s="117">
        <f t="shared" si="15"/>
        <v>0.04</v>
      </c>
      <c r="Z20" s="117">
        <f t="shared" si="15"/>
        <v>0.04</v>
      </c>
      <c r="AA20" s="117">
        <f t="shared" si="15"/>
        <v>0.04</v>
      </c>
      <c r="AB20" s="117">
        <f t="shared" si="15"/>
        <v>0.04</v>
      </c>
      <c r="AC20" s="117">
        <f t="shared" si="15"/>
        <v>0.04</v>
      </c>
      <c r="AD20" s="117">
        <f t="shared" si="15"/>
        <v>0.04</v>
      </c>
      <c r="AE20" s="117">
        <f t="shared" si="15"/>
        <v>0.04</v>
      </c>
    </row>
    <row r="21" spans="3:31" ht="12.75">
      <c r="C21" s="114" t="s">
        <v>183</v>
      </c>
      <c r="D21" s="114" t="s">
        <v>10</v>
      </c>
      <c r="E21" s="117">
        <f>E18*(1+E19)*(1+E20)</f>
        <v>0.19240000000000002</v>
      </c>
      <c r="F21" s="117">
        <f aca="true" t="shared" si="16" ref="F21:O21">F18*(1+F19)*(1+F20)</f>
        <v>0.19240000000000002</v>
      </c>
      <c r="G21" s="117">
        <f t="shared" si="16"/>
        <v>0.20586800000000002</v>
      </c>
      <c r="H21" s="117">
        <f t="shared" si="16"/>
        <v>0.20586800000000002</v>
      </c>
      <c r="I21" s="117">
        <f t="shared" si="16"/>
        <v>0.20586800000000002</v>
      </c>
      <c r="J21" s="117">
        <f t="shared" si="16"/>
        <v>0.20586800000000002</v>
      </c>
      <c r="K21" s="117">
        <f t="shared" si="16"/>
        <v>0.20586800000000002</v>
      </c>
      <c r="L21" s="117">
        <f t="shared" si="16"/>
        <v>0.20586800000000002</v>
      </c>
      <c r="M21" s="117">
        <f t="shared" si="16"/>
        <v>0.20586800000000002</v>
      </c>
      <c r="N21" s="117">
        <f t="shared" si="16"/>
        <v>0.20586800000000002</v>
      </c>
      <c r="O21" s="117">
        <f t="shared" si="16"/>
        <v>0.21548800000000004</v>
      </c>
      <c r="P21" s="117">
        <f>P18*(1+P19)*(1+P20)</f>
        <v>0.21548800000000004</v>
      </c>
      <c r="Q21" s="117">
        <f>Q18*(1+Q19)*(1+Q20)</f>
        <v>0.21548800000000004</v>
      </c>
      <c r="R21" s="117">
        <f aca="true" t="shared" si="17" ref="R21:AE21">R18*(1+R19)*(1+R20)</f>
        <v>0.21548800000000004</v>
      </c>
      <c r="S21" s="117">
        <f t="shared" si="17"/>
        <v>0.21548800000000004</v>
      </c>
      <c r="T21" s="117">
        <f t="shared" si="17"/>
        <v>0.21548800000000004</v>
      </c>
      <c r="U21" s="117">
        <f t="shared" si="17"/>
        <v>0.21548800000000004</v>
      </c>
      <c r="V21" s="117">
        <f t="shared" si="17"/>
        <v>0.20586800000000002</v>
      </c>
      <c r="W21" s="117">
        <f t="shared" si="17"/>
        <v>0.20586800000000002</v>
      </c>
      <c r="X21" s="117">
        <f t="shared" si="17"/>
        <v>0.20586800000000002</v>
      </c>
      <c r="Y21" s="117">
        <f t="shared" si="17"/>
        <v>0.20586800000000002</v>
      </c>
      <c r="Z21" s="117">
        <f t="shared" si="17"/>
        <v>0.20586800000000002</v>
      </c>
      <c r="AA21" s="117">
        <f t="shared" si="17"/>
        <v>0.20586800000000002</v>
      </c>
      <c r="AB21" s="117">
        <f t="shared" si="17"/>
        <v>0.20586800000000002</v>
      </c>
      <c r="AC21" s="117">
        <f t="shared" si="17"/>
        <v>0.20586800000000002</v>
      </c>
      <c r="AD21" s="117">
        <f t="shared" si="17"/>
        <v>0.20586800000000002</v>
      </c>
      <c r="AE21" s="117">
        <f t="shared" si="17"/>
        <v>0.20586800000000002</v>
      </c>
    </row>
    <row r="22" spans="3:31" ht="12.75">
      <c r="C22" s="114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</row>
    <row r="23" spans="3:31" ht="12.75">
      <c r="C23" s="114"/>
      <c r="D23" s="114"/>
      <c r="E23" s="118"/>
      <c r="F23" s="118"/>
      <c r="G23" s="118"/>
      <c r="H23" s="118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3:31" ht="12.75">
      <c r="C24" s="114" t="s">
        <v>182</v>
      </c>
      <c r="D24" s="114" t="str">
        <f>D10</f>
        <v>Rs. Crores</v>
      </c>
      <c r="E24" s="118">
        <f>E16*E10</f>
        <v>0</v>
      </c>
      <c r="F24" s="118">
        <f aca="true" t="shared" si="18" ref="F24:O24">F16*F10</f>
        <v>0</v>
      </c>
      <c r="G24" s="118">
        <f t="shared" si="18"/>
        <v>1.852882614064036</v>
      </c>
      <c r="H24" s="118">
        <f t="shared" si="18"/>
        <v>0.33615271334626523</v>
      </c>
      <c r="I24" s="115">
        <f t="shared" si="18"/>
        <v>1.0018900674402549</v>
      </c>
      <c r="J24" s="115">
        <f t="shared" si="18"/>
        <v>1.6020039358940465</v>
      </c>
      <c r="K24" s="115">
        <f t="shared" si="18"/>
        <v>1.8156184550953696</v>
      </c>
      <c r="L24" s="115">
        <f t="shared" si="18"/>
        <v>2.0997004998915587</v>
      </c>
      <c r="M24" s="115">
        <f t="shared" si="18"/>
        <v>2.316982561699009</v>
      </c>
      <c r="N24" s="115">
        <f t="shared" si="18"/>
        <v>2.4008243609870465</v>
      </c>
      <c r="O24" s="115">
        <f t="shared" si="18"/>
        <v>2.752572182073243</v>
      </c>
      <c r="P24" s="115">
        <f>P16*P10</f>
        <v>2.9711606059452653</v>
      </c>
      <c r="Q24" s="115">
        <f>Q16*Q10</f>
        <v>3.0743662449141955</v>
      </c>
      <c r="R24" s="115">
        <f aca="true" t="shared" si="19" ref="R24:AE24">R16*R10</f>
        <v>3.2003350010142766</v>
      </c>
      <c r="S24" s="115">
        <f t="shared" si="19"/>
        <v>3.210644766550805</v>
      </c>
      <c r="T24" s="115">
        <f t="shared" si="19"/>
        <v>3.0974131442338044</v>
      </c>
      <c r="U24" s="115">
        <f t="shared" si="19"/>
        <v>3.1404426781098227</v>
      </c>
      <c r="V24" s="115">
        <f t="shared" si="19"/>
        <v>3.011387824114378</v>
      </c>
      <c r="W24" s="115">
        <f t="shared" si="19"/>
        <v>2.9551730272831365</v>
      </c>
      <c r="X24" s="115">
        <f t="shared" si="19"/>
        <v>2.9846711133172747</v>
      </c>
      <c r="Y24" s="115">
        <f t="shared" si="19"/>
        <v>2.915703906996538</v>
      </c>
      <c r="Z24" s="115">
        <f t="shared" si="19"/>
        <v>2.71675929179703</v>
      </c>
      <c r="AA24" s="115">
        <f t="shared" si="19"/>
        <v>2.7434675365857033</v>
      </c>
      <c r="AB24" s="115">
        <f t="shared" si="19"/>
        <v>2.7247318418499584</v>
      </c>
      <c r="AC24" s="115">
        <f t="shared" si="19"/>
        <v>2.6460066664127346</v>
      </c>
      <c r="AD24" s="115">
        <f t="shared" si="19"/>
        <v>2.650074825854797</v>
      </c>
      <c r="AE24" s="115">
        <f t="shared" si="19"/>
        <v>2.638619784824194</v>
      </c>
    </row>
    <row r="25" spans="3:31" ht="12.75">
      <c r="C25" s="114"/>
      <c r="D25" s="114"/>
      <c r="E25" s="118"/>
      <c r="F25" s="118"/>
      <c r="G25" s="118"/>
      <c r="H25" s="118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3:31" ht="12.75">
      <c r="C26" s="114" t="s">
        <v>183</v>
      </c>
      <c r="D26" s="114" t="str">
        <f>D24</f>
        <v>Rs. Crores</v>
      </c>
      <c r="E26" s="118">
        <f>IF(E5&lt;=0,0,E5*E21)</f>
        <v>0</v>
      </c>
      <c r="F26" s="118">
        <f>IF(F5&lt;=0,0,F5*F21)</f>
        <v>0</v>
      </c>
      <c r="G26" s="118">
        <f aca="true" t="shared" si="20" ref="G26:O26">IF(G5&lt;=0,0,G5*G21)</f>
        <v>1.5868657366787173</v>
      </c>
      <c r="H26" s="118">
        <f t="shared" si="20"/>
        <v>1.1933847386242278</v>
      </c>
      <c r="I26" s="115">
        <f t="shared" si="20"/>
        <v>1.4924550811489647</v>
      </c>
      <c r="J26" s="115">
        <f t="shared" si="20"/>
        <v>1.7536474872763597</v>
      </c>
      <c r="K26" s="115">
        <f t="shared" si="20"/>
        <v>1.8348576026818029</v>
      </c>
      <c r="L26" s="115">
        <f t="shared" si="20"/>
        <v>1.9140364099890295</v>
      </c>
      <c r="M26" s="115">
        <f t="shared" si="20"/>
        <v>1.9338452995378295</v>
      </c>
      <c r="N26" s="115">
        <f t="shared" si="20"/>
        <v>2.007938935649823</v>
      </c>
      <c r="O26" s="115">
        <f t="shared" si="20"/>
        <v>2.1751155509065043</v>
      </c>
      <c r="P26" s="115">
        <f>IF(P5&lt;=0,0,P5*P21)</f>
        <v>2.217430711740058</v>
      </c>
      <c r="Q26" s="115">
        <f>IF(Q5&lt;=0,0,Q5*Q21)</f>
        <v>2.325566044678516</v>
      </c>
      <c r="R26" s="115">
        <f aca="true" t="shared" si="21" ref="R26:AE26">IF(R5&lt;=0,0,R5*R21)</f>
        <v>2.339714899886397</v>
      </c>
      <c r="S26" s="115">
        <f t="shared" si="21"/>
        <v>2.2493226663700043</v>
      </c>
      <c r="T26" s="115">
        <f t="shared" si="21"/>
        <v>2.218251629426161</v>
      </c>
      <c r="U26" s="115">
        <f t="shared" si="21"/>
        <v>2.1911643328534725</v>
      </c>
      <c r="V26" s="115">
        <f t="shared" si="21"/>
        <v>2.029098117481575</v>
      </c>
      <c r="W26" s="115">
        <f t="shared" si="21"/>
        <v>2.0012354282718445</v>
      </c>
      <c r="X26" s="115">
        <f t="shared" si="21"/>
        <v>1.9726153900580146</v>
      </c>
      <c r="Y26" s="115">
        <f t="shared" si="21"/>
        <v>1.8322562578515351</v>
      </c>
      <c r="Z26" s="115">
        <f t="shared" si="21"/>
        <v>1.8003570651654195</v>
      </c>
      <c r="AA26" s="115">
        <f t="shared" si="21"/>
        <v>1.7675939879514877</v>
      </c>
      <c r="AB26" s="115">
        <f t="shared" si="21"/>
        <v>1.6921673154617591</v>
      </c>
      <c r="AC26" s="115">
        <f t="shared" si="21"/>
        <v>1.6569419449075047</v>
      </c>
      <c r="AD26" s="115">
        <f t="shared" si="21"/>
        <v>1.6153496526806272</v>
      </c>
      <c r="AE26" s="115">
        <f t="shared" si="21"/>
        <v>1.578106331102468</v>
      </c>
    </row>
    <row r="27" spans="3:31" ht="12.75">
      <c r="C27" s="114"/>
      <c r="D27" s="114"/>
      <c r="E27" s="118"/>
      <c r="F27" s="118"/>
      <c r="G27" s="118"/>
      <c r="H27" s="118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3:31" ht="12.75">
      <c r="C28" s="114" t="s">
        <v>184</v>
      </c>
      <c r="D28" s="114" t="str">
        <f>D26</f>
        <v>Rs. Crores</v>
      </c>
      <c r="E28" s="118">
        <f>MAX(E24,E26)</f>
        <v>0</v>
      </c>
      <c r="F28" s="118">
        <f aca="true" t="shared" si="22" ref="F28:O28">MAX(F24,F26)</f>
        <v>0</v>
      </c>
      <c r="G28" s="118">
        <f t="shared" si="22"/>
        <v>1.852882614064036</v>
      </c>
      <c r="H28" s="118">
        <f t="shared" si="22"/>
        <v>1.1933847386242278</v>
      </c>
      <c r="I28" s="115">
        <f t="shared" si="22"/>
        <v>1.4924550811489647</v>
      </c>
      <c r="J28" s="115">
        <f t="shared" si="22"/>
        <v>1.7536474872763597</v>
      </c>
      <c r="K28" s="115">
        <f t="shared" si="22"/>
        <v>1.8348576026818029</v>
      </c>
      <c r="L28" s="115">
        <f t="shared" si="22"/>
        <v>2.0997004998915587</v>
      </c>
      <c r="M28" s="115">
        <f t="shared" si="22"/>
        <v>2.316982561699009</v>
      </c>
      <c r="N28" s="115">
        <f t="shared" si="22"/>
        <v>2.4008243609870465</v>
      </c>
      <c r="O28" s="115">
        <f t="shared" si="22"/>
        <v>2.752572182073243</v>
      </c>
      <c r="P28" s="115">
        <f>MAX(P24,P26)</f>
        <v>2.9711606059452653</v>
      </c>
      <c r="Q28" s="115">
        <f>MAX(Q24,Q26)</f>
        <v>3.0743662449141955</v>
      </c>
      <c r="R28" s="115">
        <f aca="true" t="shared" si="23" ref="R28:AE28">MAX(R24,R26)</f>
        <v>3.2003350010142766</v>
      </c>
      <c r="S28" s="115">
        <f t="shared" si="23"/>
        <v>3.210644766550805</v>
      </c>
      <c r="T28" s="115">
        <f t="shared" si="23"/>
        <v>3.0974131442338044</v>
      </c>
      <c r="U28" s="115">
        <f t="shared" si="23"/>
        <v>3.1404426781098227</v>
      </c>
      <c r="V28" s="115">
        <f t="shared" si="23"/>
        <v>3.011387824114378</v>
      </c>
      <c r="W28" s="115">
        <f t="shared" si="23"/>
        <v>2.9551730272831365</v>
      </c>
      <c r="X28" s="115">
        <f t="shared" si="23"/>
        <v>2.9846711133172747</v>
      </c>
      <c r="Y28" s="115">
        <f t="shared" si="23"/>
        <v>2.915703906996538</v>
      </c>
      <c r="Z28" s="115">
        <f t="shared" si="23"/>
        <v>2.71675929179703</v>
      </c>
      <c r="AA28" s="115">
        <f t="shared" si="23"/>
        <v>2.7434675365857033</v>
      </c>
      <c r="AB28" s="115">
        <f t="shared" si="23"/>
        <v>2.7247318418499584</v>
      </c>
      <c r="AC28" s="115">
        <f t="shared" si="23"/>
        <v>2.6460066664127346</v>
      </c>
      <c r="AD28" s="115">
        <f t="shared" si="23"/>
        <v>2.650074825854797</v>
      </c>
      <c r="AE28" s="115">
        <f t="shared" si="23"/>
        <v>2.638619784824194</v>
      </c>
    </row>
    <row r="29" spans="3:31" ht="12.75">
      <c r="C29" s="114" t="s">
        <v>185</v>
      </c>
      <c r="D29" s="114" t="str">
        <f>D28</f>
        <v>Rs. Crores</v>
      </c>
      <c r="E29" s="118">
        <f>E49</f>
        <v>0</v>
      </c>
      <c r="F29" s="118">
        <f aca="true" t="shared" si="24" ref="F29:O29">F49</f>
        <v>0</v>
      </c>
      <c r="G29" s="118">
        <f t="shared" si="24"/>
        <v>0</v>
      </c>
      <c r="H29" s="118">
        <f t="shared" si="24"/>
        <v>0</v>
      </c>
      <c r="I29" s="115">
        <f t="shared" si="24"/>
        <v>0</v>
      </c>
      <c r="J29" s="115">
        <f t="shared" si="24"/>
        <v>0</v>
      </c>
      <c r="K29" s="115">
        <f t="shared" si="24"/>
        <v>0</v>
      </c>
      <c r="L29" s="115">
        <f t="shared" si="24"/>
        <v>0.18566408990252925</v>
      </c>
      <c r="M29" s="115">
        <f t="shared" si="24"/>
        <v>0.3831372621611795</v>
      </c>
      <c r="N29" s="115">
        <f t="shared" si="24"/>
        <v>0.39288542533722337</v>
      </c>
      <c r="O29" s="115">
        <f t="shared" si="24"/>
        <v>0.5569929605544868</v>
      </c>
      <c r="P29" s="115">
        <f>P49</f>
        <v>0</v>
      </c>
      <c r="Q29" s="115">
        <f>Q49</f>
        <v>0</v>
      </c>
      <c r="R29" s="115">
        <f aca="true" t="shared" si="25" ref="R29:AE29">R49</f>
        <v>0</v>
      </c>
      <c r="S29" s="115">
        <f t="shared" si="25"/>
        <v>0</v>
      </c>
      <c r="T29" s="115">
        <f t="shared" si="25"/>
        <v>0</v>
      </c>
      <c r="U29" s="115">
        <f t="shared" si="25"/>
        <v>0</v>
      </c>
      <c r="V29" s="115">
        <f t="shared" si="25"/>
        <v>0</v>
      </c>
      <c r="W29" s="115">
        <f t="shared" si="25"/>
        <v>0</v>
      </c>
      <c r="X29" s="115">
        <f t="shared" si="25"/>
        <v>0</v>
      </c>
      <c r="Y29" s="115">
        <f t="shared" si="25"/>
        <v>0</v>
      </c>
      <c r="Z29" s="115">
        <f t="shared" si="25"/>
        <v>0</v>
      </c>
      <c r="AA29" s="115">
        <f t="shared" si="25"/>
        <v>0</v>
      </c>
      <c r="AB29" s="115">
        <f t="shared" si="25"/>
        <v>0</v>
      </c>
      <c r="AC29" s="115">
        <f t="shared" si="25"/>
        <v>0</v>
      </c>
      <c r="AD29" s="115">
        <f t="shared" si="25"/>
        <v>0</v>
      </c>
      <c r="AE29" s="115">
        <f t="shared" si="25"/>
        <v>0</v>
      </c>
    </row>
    <row r="30" spans="3:31" ht="12.75">
      <c r="C30" s="114" t="s">
        <v>93</v>
      </c>
      <c r="D30" s="114" t="str">
        <f>D29</f>
        <v>Rs. Crores</v>
      </c>
      <c r="E30" s="115">
        <f>E28-E29</f>
        <v>0</v>
      </c>
      <c r="F30" s="115">
        <f aca="true" t="shared" si="26" ref="F30:O30">F28-F29</f>
        <v>0</v>
      </c>
      <c r="G30" s="115">
        <f t="shared" si="26"/>
        <v>1.852882614064036</v>
      </c>
      <c r="H30" s="115">
        <f t="shared" si="26"/>
        <v>1.1933847386242278</v>
      </c>
      <c r="I30" s="115">
        <f t="shared" si="26"/>
        <v>1.4924550811489647</v>
      </c>
      <c r="J30" s="115">
        <f t="shared" si="26"/>
        <v>1.7536474872763597</v>
      </c>
      <c r="K30" s="115">
        <f t="shared" si="26"/>
        <v>1.8348576026818029</v>
      </c>
      <c r="L30" s="115">
        <f t="shared" si="26"/>
        <v>1.9140364099890295</v>
      </c>
      <c r="M30" s="115">
        <f t="shared" si="26"/>
        <v>1.9338452995378295</v>
      </c>
      <c r="N30" s="115">
        <f t="shared" si="26"/>
        <v>2.007938935649823</v>
      </c>
      <c r="O30" s="115">
        <f t="shared" si="26"/>
        <v>2.195579221518756</v>
      </c>
      <c r="P30" s="115">
        <f>P28-P29</f>
        <v>2.9711606059452653</v>
      </c>
      <c r="Q30" s="115">
        <f>Q28-Q29</f>
        <v>3.0743662449141955</v>
      </c>
      <c r="R30" s="115">
        <f aca="true" t="shared" si="27" ref="R30:AE30">R28-R29</f>
        <v>3.2003350010142766</v>
      </c>
      <c r="S30" s="115">
        <f t="shared" si="27"/>
        <v>3.210644766550805</v>
      </c>
      <c r="T30" s="115">
        <f t="shared" si="27"/>
        <v>3.0974131442338044</v>
      </c>
      <c r="U30" s="115">
        <f t="shared" si="27"/>
        <v>3.1404426781098227</v>
      </c>
      <c r="V30" s="115">
        <f t="shared" si="27"/>
        <v>3.011387824114378</v>
      </c>
      <c r="W30" s="115">
        <f t="shared" si="27"/>
        <v>2.9551730272831365</v>
      </c>
      <c r="X30" s="115">
        <f t="shared" si="27"/>
        <v>2.9846711133172747</v>
      </c>
      <c r="Y30" s="115">
        <f t="shared" si="27"/>
        <v>2.915703906996538</v>
      </c>
      <c r="Z30" s="115">
        <f t="shared" si="27"/>
        <v>2.71675929179703</v>
      </c>
      <c r="AA30" s="115">
        <f t="shared" si="27"/>
        <v>2.7434675365857033</v>
      </c>
      <c r="AB30" s="115">
        <f t="shared" si="27"/>
        <v>2.7247318418499584</v>
      </c>
      <c r="AC30" s="115">
        <f t="shared" si="27"/>
        <v>2.6460066664127346</v>
      </c>
      <c r="AD30" s="115">
        <f t="shared" si="27"/>
        <v>2.650074825854797</v>
      </c>
      <c r="AE30" s="115">
        <f t="shared" si="27"/>
        <v>2.638619784824194</v>
      </c>
    </row>
    <row r="32" ht="12.75">
      <c r="C32" s="1" t="s">
        <v>186</v>
      </c>
    </row>
    <row r="34" spans="3:31" s="113" customFormat="1" ht="12.75">
      <c r="C34" s="121" t="s">
        <v>1</v>
      </c>
      <c r="D34" s="121" t="s">
        <v>2</v>
      </c>
      <c r="E34" s="122">
        <f>E4</f>
        <v>44651</v>
      </c>
      <c r="F34" s="122">
        <f aca="true" t="shared" si="28" ref="F34:Q34">F4</f>
        <v>45016</v>
      </c>
      <c r="G34" s="122">
        <f t="shared" si="28"/>
        <v>45382</v>
      </c>
      <c r="H34" s="122">
        <f t="shared" si="28"/>
        <v>45747</v>
      </c>
      <c r="I34" s="122">
        <f t="shared" si="28"/>
        <v>46112</v>
      </c>
      <c r="J34" s="122">
        <f t="shared" si="28"/>
        <v>46477</v>
      </c>
      <c r="K34" s="122">
        <f t="shared" si="28"/>
        <v>46843</v>
      </c>
      <c r="L34" s="122">
        <f t="shared" si="28"/>
        <v>47208</v>
      </c>
      <c r="M34" s="122">
        <f t="shared" si="28"/>
        <v>47573</v>
      </c>
      <c r="N34" s="122">
        <f t="shared" si="28"/>
        <v>47938</v>
      </c>
      <c r="O34" s="122">
        <f t="shared" si="28"/>
        <v>48304</v>
      </c>
      <c r="P34" s="122">
        <f t="shared" si="28"/>
        <v>48669</v>
      </c>
      <c r="Q34" s="122">
        <f t="shared" si="28"/>
        <v>49034</v>
      </c>
      <c r="R34" s="122">
        <f aca="true" t="shared" si="29" ref="R34:AE34">R4</f>
        <v>49399</v>
      </c>
      <c r="S34" s="122">
        <f t="shared" si="29"/>
        <v>49765</v>
      </c>
      <c r="T34" s="122">
        <f t="shared" si="29"/>
        <v>50130</v>
      </c>
      <c r="U34" s="122">
        <f t="shared" si="29"/>
        <v>50495</v>
      </c>
      <c r="V34" s="122">
        <f t="shared" si="29"/>
        <v>50860</v>
      </c>
      <c r="W34" s="122">
        <f t="shared" si="29"/>
        <v>51226</v>
      </c>
      <c r="X34" s="122">
        <f t="shared" si="29"/>
        <v>51591</v>
      </c>
      <c r="Y34" s="122">
        <f t="shared" si="29"/>
        <v>51956</v>
      </c>
      <c r="Z34" s="122">
        <f t="shared" si="29"/>
        <v>52321</v>
      </c>
      <c r="AA34" s="122">
        <f t="shared" si="29"/>
        <v>52687</v>
      </c>
      <c r="AB34" s="122">
        <f t="shared" si="29"/>
        <v>53052</v>
      </c>
      <c r="AC34" s="122">
        <f t="shared" si="29"/>
        <v>53417</v>
      </c>
      <c r="AD34" s="122">
        <f t="shared" si="29"/>
        <v>53782</v>
      </c>
      <c r="AE34" s="122">
        <f t="shared" si="29"/>
        <v>54148</v>
      </c>
    </row>
    <row r="35" spans="3:31" ht="12.75">
      <c r="C35" s="114" t="s">
        <v>187</v>
      </c>
      <c r="D35" s="114" t="str">
        <f>D30</f>
        <v>Rs. Crores</v>
      </c>
      <c r="E35" s="118">
        <v>0</v>
      </c>
      <c r="F35" s="115">
        <f>E39</f>
        <v>0</v>
      </c>
      <c r="G35" s="115">
        <f aca="true" t="shared" si="30" ref="G35:O35">F39</f>
        <v>0</v>
      </c>
      <c r="H35" s="115">
        <f t="shared" si="30"/>
        <v>0</v>
      </c>
      <c r="I35" s="115">
        <f t="shared" si="30"/>
        <v>0</v>
      </c>
      <c r="J35" s="115">
        <f t="shared" si="30"/>
        <v>0</v>
      </c>
      <c r="K35" s="115">
        <f t="shared" si="30"/>
        <v>0</v>
      </c>
      <c r="L35" s="115">
        <f t="shared" si="30"/>
        <v>0</v>
      </c>
      <c r="M35" s="115">
        <f t="shared" si="30"/>
        <v>0</v>
      </c>
      <c r="N35" s="115">
        <f t="shared" si="30"/>
        <v>0</v>
      </c>
      <c r="O35" s="115">
        <f t="shared" si="30"/>
        <v>0</v>
      </c>
      <c r="P35" s="115">
        <f>O39</f>
        <v>0</v>
      </c>
      <c r="Q35" s="115">
        <f>P39</f>
        <v>0</v>
      </c>
      <c r="R35" s="115">
        <f>Q39</f>
        <v>0</v>
      </c>
      <c r="S35" s="115">
        <f>R39</f>
        <v>0</v>
      </c>
      <c r="T35" s="115">
        <f>S39</f>
        <v>0</v>
      </c>
      <c r="U35" s="115">
        <f>T39</f>
        <v>0</v>
      </c>
      <c r="V35" s="115">
        <f>U39</f>
        <v>0</v>
      </c>
      <c r="W35" s="115">
        <f>V39</f>
        <v>0</v>
      </c>
      <c r="X35" s="115">
        <f>W39</f>
        <v>0</v>
      </c>
      <c r="Y35" s="115">
        <f>X39</f>
        <v>0</v>
      </c>
      <c r="Z35" s="115">
        <f>Y39</f>
        <v>0</v>
      </c>
      <c r="AA35" s="115">
        <f>Z39</f>
        <v>0</v>
      </c>
      <c r="AB35" s="115">
        <f>AA39</f>
        <v>0</v>
      </c>
      <c r="AC35" s="115">
        <f>AB39</f>
        <v>0</v>
      </c>
      <c r="AD35" s="115">
        <f>AC39</f>
        <v>0</v>
      </c>
      <c r="AE35" s="115">
        <f>AD39</f>
        <v>0</v>
      </c>
    </row>
    <row r="36" spans="3:31" ht="12.75">
      <c r="C36" s="114" t="s">
        <v>188</v>
      </c>
      <c r="D36" s="114" t="str">
        <f>D35</f>
        <v>Rs. Crores</v>
      </c>
      <c r="E36" s="115">
        <f>IF(E8&lt;0,-E8,0)</f>
        <v>0</v>
      </c>
      <c r="F36" s="115">
        <f aca="true" t="shared" si="31" ref="F36:O36">IF(F8&lt;0,-F8,0)</f>
        <v>0</v>
      </c>
      <c r="G36" s="115">
        <f t="shared" si="31"/>
        <v>0</v>
      </c>
      <c r="H36" s="115">
        <f t="shared" si="31"/>
        <v>0</v>
      </c>
      <c r="I36" s="115">
        <f t="shared" si="31"/>
        <v>0</v>
      </c>
      <c r="J36" s="115">
        <f t="shared" si="31"/>
        <v>0</v>
      </c>
      <c r="K36" s="115">
        <f t="shared" si="31"/>
        <v>0</v>
      </c>
      <c r="L36" s="115">
        <f t="shared" si="31"/>
        <v>0</v>
      </c>
      <c r="M36" s="115">
        <f t="shared" si="31"/>
        <v>0</v>
      </c>
      <c r="N36" s="115">
        <f t="shared" si="31"/>
        <v>0</v>
      </c>
      <c r="O36" s="115">
        <f t="shared" si="31"/>
        <v>0</v>
      </c>
      <c r="P36" s="115">
        <f>IF(P8&lt;0,-P8,0)</f>
        <v>0</v>
      </c>
      <c r="Q36" s="115">
        <f>IF(Q8&lt;0,-Q8,0)</f>
        <v>0</v>
      </c>
      <c r="R36" s="115">
        <f aca="true" t="shared" si="32" ref="R36:AE36">IF(R8&lt;0,-R8,0)</f>
        <v>0</v>
      </c>
      <c r="S36" s="115">
        <f t="shared" si="32"/>
        <v>0</v>
      </c>
      <c r="T36" s="115">
        <f t="shared" si="32"/>
        <v>0</v>
      </c>
      <c r="U36" s="115">
        <f t="shared" si="32"/>
        <v>0</v>
      </c>
      <c r="V36" s="115">
        <f t="shared" si="32"/>
        <v>0</v>
      </c>
      <c r="W36" s="115">
        <f t="shared" si="32"/>
        <v>0</v>
      </c>
      <c r="X36" s="115">
        <f t="shared" si="32"/>
        <v>0</v>
      </c>
      <c r="Y36" s="115">
        <f t="shared" si="32"/>
        <v>0</v>
      </c>
      <c r="Z36" s="115">
        <f t="shared" si="32"/>
        <v>0</v>
      </c>
      <c r="AA36" s="115">
        <f t="shared" si="32"/>
        <v>0</v>
      </c>
      <c r="AB36" s="115">
        <f t="shared" si="32"/>
        <v>0</v>
      </c>
      <c r="AC36" s="115">
        <f t="shared" si="32"/>
        <v>0</v>
      </c>
      <c r="AD36" s="115">
        <f t="shared" si="32"/>
        <v>0</v>
      </c>
      <c r="AE36" s="115">
        <f t="shared" si="32"/>
        <v>0</v>
      </c>
    </row>
    <row r="37" spans="3:31" s="1" customFormat="1" ht="12.75">
      <c r="C37" s="114" t="s">
        <v>189</v>
      </c>
      <c r="D37" s="114" t="str">
        <f>D36</f>
        <v>Rs. Crores</v>
      </c>
      <c r="E37" s="119">
        <f>SUM(E35:E36)</f>
        <v>0</v>
      </c>
      <c r="F37" s="119">
        <f aca="true" t="shared" si="33" ref="F37:O37">SUM(F35:F36)</f>
        <v>0</v>
      </c>
      <c r="G37" s="119">
        <f t="shared" si="33"/>
        <v>0</v>
      </c>
      <c r="H37" s="119">
        <f t="shared" si="33"/>
        <v>0</v>
      </c>
      <c r="I37" s="119">
        <f t="shared" si="33"/>
        <v>0</v>
      </c>
      <c r="J37" s="119">
        <f t="shared" si="33"/>
        <v>0</v>
      </c>
      <c r="K37" s="119">
        <f t="shared" si="33"/>
        <v>0</v>
      </c>
      <c r="L37" s="119">
        <f t="shared" si="33"/>
        <v>0</v>
      </c>
      <c r="M37" s="119">
        <f t="shared" si="33"/>
        <v>0</v>
      </c>
      <c r="N37" s="119">
        <f t="shared" si="33"/>
        <v>0</v>
      </c>
      <c r="O37" s="119">
        <f t="shared" si="33"/>
        <v>0</v>
      </c>
      <c r="P37" s="119">
        <f>SUM(P35:P36)</f>
        <v>0</v>
      </c>
      <c r="Q37" s="119">
        <f>SUM(Q35:Q36)</f>
        <v>0</v>
      </c>
      <c r="R37" s="119">
        <f aca="true" t="shared" si="34" ref="R37:AE37">SUM(R35:R36)</f>
        <v>0</v>
      </c>
      <c r="S37" s="119">
        <f t="shared" si="34"/>
        <v>0</v>
      </c>
      <c r="T37" s="119">
        <f t="shared" si="34"/>
        <v>0</v>
      </c>
      <c r="U37" s="119">
        <f t="shared" si="34"/>
        <v>0</v>
      </c>
      <c r="V37" s="119">
        <f t="shared" si="34"/>
        <v>0</v>
      </c>
      <c r="W37" s="119">
        <f t="shared" si="34"/>
        <v>0</v>
      </c>
      <c r="X37" s="119">
        <f t="shared" si="34"/>
        <v>0</v>
      </c>
      <c r="Y37" s="119">
        <f t="shared" si="34"/>
        <v>0</v>
      </c>
      <c r="Z37" s="119">
        <f t="shared" si="34"/>
        <v>0</v>
      </c>
      <c r="AA37" s="119">
        <f t="shared" si="34"/>
        <v>0</v>
      </c>
      <c r="AB37" s="119">
        <f t="shared" si="34"/>
        <v>0</v>
      </c>
      <c r="AC37" s="119">
        <f t="shared" si="34"/>
        <v>0</v>
      </c>
      <c r="AD37" s="119">
        <f t="shared" si="34"/>
        <v>0</v>
      </c>
      <c r="AE37" s="119">
        <f t="shared" si="34"/>
        <v>0</v>
      </c>
    </row>
    <row r="38" spans="3:31" ht="12.75">
      <c r="C38" s="114" t="s">
        <v>190</v>
      </c>
      <c r="D38" s="114" t="str">
        <f>D37</f>
        <v>Rs. Crores</v>
      </c>
      <c r="E38" s="115">
        <f>IF(E8&gt;0,MIN(E8,E37),0)</f>
        <v>0</v>
      </c>
      <c r="F38" s="115">
        <f aca="true" t="shared" si="35" ref="F38:O38">IF(F8&gt;0,MIN(F8,F37),0)</f>
        <v>0</v>
      </c>
      <c r="G38" s="115">
        <f t="shared" si="35"/>
        <v>0</v>
      </c>
      <c r="H38" s="115">
        <f t="shared" si="35"/>
        <v>0</v>
      </c>
      <c r="I38" s="115">
        <f t="shared" si="35"/>
        <v>0</v>
      </c>
      <c r="J38" s="115">
        <f t="shared" si="35"/>
        <v>0</v>
      </c>
      <c r="K38" s="115">
        <f t="shared" si="35"/>
        <v>0</v>
      </c>
      <c r="L38" s="115">
        <f t="shared" si="35"/>
        <v>0</v>
      </c>
      <c r="M38" s="115">
        <f t="shared" si="35"/>
        <v>0</v>
      </c>
      <c r="N38" s="115">
        <f t="shared" si="35"/>
        <v>0</v>
      </c>
      <c r="O38" s="115">
        <f t="shared" si="35"/>
        <v>0</v>
      </c>
      <c r="P38" s="115">
        <f>IF(P8&gt;0,MIN(P8,P37),0)</f>
        <v>0</v>
      </c>
      <c r="Q38" s="115">
        <f>IF(Q8&gt;0,MIN(Q8,Q37),0)</f>
        <v>0</v>
      </c>
      <c r="R38" s="115">
        <f aca="true" t="shared" si="36" ref="R38:AE38">IF(R8&gt;0,MIN(R8,R37),0)</f>
        <v>0</v>
      </c>
      <c r="S38" s="115">
        <f t="shared" si="36"/>
        <v>0</v>
      </c>
      <c r="T38" s="115">
        <f t="shared" si="36"/>
        <v>0</v>
      </c>
      <c r="U38" s="115">
        <f t="shared" si="36"/>
        <v>0</v>
      </c>
      <c r="V38" s="115">
        <f t="shared" si="36"/>
        <v>0</v>
      </c>
      <c r="W38" s="115">
        <f t="shared" si="36"/>
        <v>0</v>
      </c>
      <c r="X38" s="115">
        <f t="shared" si="36"/>
        <v>0</v>
      </c>
      <c r="Y38" s="115">
        <f t="shared" si="36"/>
        <v>0</v>
      </c>
      <c r="Z38" s="115">
        <f t="shared" si="36"/>
        <v>0</v>
      </c>
      <c r="AA38" s="115">
        <f t="shared" si="36"/>
        <v>0</v>
      </c>
      <c r="AB38" s="115">
        <f t="shared" si="36"/>
        <v>0</v>
      </c>
      <c r="AC38" s="115">
        <f t="shared" si="36"/>
        <v>0</v>
      </c>
      <c r="AD38" s="115">
        <f t="shared" si="36"/>
        <v>0</v>
      </c>
      <c r="AE38" s="115">
        <f t="shared" si="36"/>
        <v>0</v>
      </c>
    </row>
    <row r="39" spans="3:31" ht="12.75">
      <c r="C39" s="114" t="s">
        <v>191</v>
      </c>
      <c r="D39" s="114" t="str">
        <f>D38</f>
        <v>Rs. Crores</v>
      </c>
      <c r="E39" s="115">
        <f>E37-E38</f>
        <v>0</v>
      </c>
      <c r="F39" s="115">
        <f aca="true" t="shared" si="37" ref="F39:O39">F37-F38</f>
        <v>0</v>
      </c>
      <c r="G39" s="115">
        <f t="shared" si="37"/>
        <v>0</v>
      </c>
      <c r="H39" s="115">
        <f t="shared" si="37"/>
        <v>0</v>
      </c>
      <c r="I39" s="115">
        <f t="shared" si="37"/>
        <v>0</v>
      </c>
      <c r="J39" s="115">
        <f t="shared" si="37"/>
        <v>0</v>
      </c>
      <c r="K39" s="115">
        <f t="shared" si="37"/>
        <v>0</v>
      </c>
      <c r="L39" s="115">
        <f t="shared" si="37"/>
        <v>0</v>
      </c>
      <c r="M39" s="115">
        <f t="shared" si="37"/>
        <v>0</v>
      </c>
      <c r="N39" s="115">
        <f t="shared" si="37"/>
        <v>0</v>
      </c>
      <c r="O39" s="115">
        <f t="shared" si="37"/>
        <v>0</v>
      </c>
      <c r="P39" s="115">
        <f>P37-P38</f>
        <v>0</v>
      </c>
      <c r="Q39" s="115">
        <f>Q37-Q38</f>
        <v>0</v>
      </c>
      <c r="R39" s="115">
        <f aca="true" t="shared" si="38" ref="R39:AE39">R37-R38</f>
        <v>0</v>
      </c>
      <c r="S39" s="115">
        <f t="shared" si="38"/>
        <v>0</v>
      </c>
      <c r="T39" s="115">
        <f t="shared" si="38"/>
        <v>0</v>
      </c>
      <c r="U39" s="115">
        <f t="shared" si="38"/>
        <v>0</v>
      </c>
      <c r="V39" s="115">
        <f t="shared" si="38"/>
        <v>0</v>
      </c>
      <c r="W39" s="115">
        <f t="shared" si="38"/>
        <v>0</v>
      </c>
      <c r="X39" s="115">
        <f t="shared" si="38"/>
        <v>0</v>
      </c>
      <c r="Y39" s="115">
        <f t="shared" si="38"/>
        <v>0</v>
      </c>
      <c r="Z39" s="115">
        <f t="shared" si="38"/>
        <v>0</v>
      </c>
      <c r="AA39" s="115">
        <f t="shared" si="38"/>
        <v>0</v>
      </c>
      <c r="AB39" s="115">
        <f t="shared" si="38"/>
        <v>0</v>
      </c>
      <c r="AC39" s="115">
        <f t="shared" si="38"/>
        <v>0</v>
      </c>
      <c r="AD39" s="115">
        <f t="shared" si="38"/>
        <v>0</v>
      </c>
      <c r="AE39" s="115">
        <f t="shared" si="38"/>
        <v>0</v>
      </c>
    </row>
    <row r="41" ht="12.75">
      <c r="C41" s="1" t="s">
        <v>192</v>
      </c>
    </row>
    <row r="43" spans="3:31" s="113" customFormat="1" ht="12.75">
      <c r="C43" s="121" t="s">
        <v>1</v>
      </c>
      <c r="D43" s="121" t="s">
        <v>2</v>
      </c>
      <c r="E43" s="122">
        <f>E34</f>
        <v>44651</v>
      </c>
      <c r="F43" s="122">
        <f aca="true" t="shared" si="39" ref="F43:Q43">F34</f>
        <v>45016</v>
      </c>
      <c r="G43" s="122">
        <f t="shared" si="39"/>
        <v>45382</v>
      </c>
      <c r="H43" s="122">
        <f t="shared" si="39"/>
        <v>45747</v>
      </c>
      <c r="I43" s="122">
        <f t="shared" si="39"/>
        <v>46112</v>
      </c>
      <c r="J43" s="122">
        <f t="shared" si="39"/>
        <v>46477</v>
      </c>
      <c r="K43" s="122">
        <f t="shared" si="39"/>
        <v>46843</v>
      </c>
      <c r="L43" s="122">
        <f t="shared" si="39"/>
        <v>47208</v>
      </c>
      <c r="M43" s="122">
        <f t="shared" si="39"/>
        <v>47573</v>
      </c>
      <c r="N43" s="122">
        <f t="shared" si="39"/>
        <v>47938</v>
      </c>
      <c r="O43" s="122">
        <f t="shared" si="39"/>
        <v>48304</v>
      </c>
      <c r="P43" s="122">
        <f t="shared" si="39"/>
        <v>48669</v>
      </c>
      <c r="Q43" s="122">
        <f t="shared" si="39"/>
        <v>49034</v>
      </c>
      <c r="R43" s="122">
        <f aca="true" t="shared" si="40" ref="R43:AE43">R34</f>
        <v>49399</v>
      </c>
      <c r="S43" s="122">
        <f t="shared" si="40"/>
        <v>49765</v>
      </c>
      <c r="T43" s="122">
        <f t="shared" si="40"/>
        <v>50130</v>
      </c>
      <c r="U43" s="122">
        <f t="shared" si="40"/>
        <v>50495</v>
      </c>
      <c r="V43" s="122">
        <f t="shared" si="40"/>
        <v>50860</v>
      </c>
      <c r="W43" s="122">
        <f t="shared" si="40"/>
        <v>51226</v>
      </c>
      <c r="X43" s="122">
        <f t="shared" si="40"/>
        <v>51591</v>
      </c>
      <c r="Y43" s="122">
        <f t="shared" si="40"/>
        <v>51956</v>
      </c>
      <c r="Z43" s="122">
        <f t="shared" si="40"/>
        <v>52321</v>
      </c>
      <c r="AA43" s="122">
        <f t="shared" si="40"/>
        <v>52687</v>
      </c>
      <c r="AB43" s="122">
        <f t="shared" si="40"/>
        <v>53052</v>
      </c>
      <c r="AC43" s="122">
        <f t="shared" si="40"/>
        <v>53417</v>
      </c>
      <c r="AD43" s="122">
        <f t="shared" si="40"/>
        <v>53782</v>
      </c>
      <c r="AE43" s="122">
        <f t="shared" si="40"/>
        <v>54148</v>
      </c>
    </row>
    <row r="44" spans="3:31" ht="12.75">
      <c r="C44" s="114" t="s">
        <v>193</v>
      </c>
      <c r="D44" s="114" t="str">
        <f>D39</f>
        <v>Rs. Crores</v>
      </c>
      <c r="E44" s="115">
        <f>IF(E28=E26,E28-E24,0)</f>
        <v>0</v>
      </c>
      <c r="F44" s="115">
        <f aca="true" t="shared" si="41" ref="F44:O44">IF(F28=F26,F28-F24,0)</f>
        <v>0</v>
      </c>
      <c r="G44" s="115">
        <f t="shared" si="41"/>
        <v>0</v>
      </c>
      <c r="H44" s="115">
        <f t="shared" si="41"/>
        <v>0.8572320252779626</v>
      </c>
      <c r="I44" s="115">
        <f t="shared" si="41"/>
        <v>0.49056501370870986</v>
      </c>
      <c r="J44" s="115">
        <f t="shared" si="41"/>
        <v>0.1516435513823131</v>
      </c>
      <c r="K44" s="115">
        <f t="shared" si="41"/>
        <v>0.019239147586433303</v>
      </c>
      <c r="L44" s="115">
        <f t="shared" si="41"/>
        <v>0</v>
      </c>
      <c r="M44" s="115">
        <f t="shared" si="41"/>
        <v>0</v>
      </c>
      <c r="N44" s="115">
        <f t="shared" si="41"/>
        <v>0</v>
      </c>
      <c r="O44" s="115">
        <f t="shared" si="41"/>
        <v>0</v>
      </c>
      <c r="P44" s="115">
        <f>IF(P28=P26,P28-P24,0)</f>
        <v>0</v>
      </c>
      <c r="Q44" s="115">
        <f>IF(Q28=Q26,Q28-Q24,0)</f>
        <v>0</v>
      </c>
      <c r="R44" s="115">
        <f aca="true" t="shared" si="42" ref="R44:AE44">IF(R28=R26,R28-R24,0)</f>
        <v>0</v>
      </c>
      <c r="S44" s="115">
        <f t="shared" si="42"/>
        <v>0</v>
      </c>
      <c r="T44" s="115">
        <f t="shared" si="42"/>
        <v>0</v>
      </c>
      <c r="U44" s="115">
        <f t="shared" si="42"/>
        <v>0</v>
      </c>
      <c r="V44" s="115">
        <f t="shared" si="42"/>
        <v>0</v>
      </c>
      <c r="W44" s="115">
        <f t="shared" si="42"/>
        <v>0</v>
      </c>
      <c r="X44" s="115">
        <f t="shared" si="42"/>
        <v>0</v>
      </c>
      <c r="Y44" s="115">
        <f t="shared" si="42"/>
        <v>0</v>
      </c>
      <c r="Z44" s="115">
        <f t="shared" si="42"/>
        <v>0</v>
      </c>
      <c r="AA44" s="115">
        <f t="shared" si="42"/>
        <v>0</v>
      </c>
      <c r="AB44" s="115">
        <f t="shared" si="42"/>
        <v>0</v>
      </c>
      <c r="AC44" s="115">
        <f t="shared" si="42"/>
        <v>0</v>
      </c>
      <c r="AD44" s="115">
        <f t="shared" si="42"/>
        <v>0</v>
      </c>
      <c r="AE44" s="115">
        <f t="shared" si="42"/>
        <v>0</v>
      </c>
    </row>
    <row r="45" spans="3:31" ht="12.75">
      <c r="C45" s="114" t="s">
        <v>194</v>
      </c>
      <c r="D45" s="114" t="str">
        <f>D44</f>
        <v>Rs. Crores</v>
      </c>
      <c r="E45" s="115">
        <f>E44</f>
        <v>0</v>
      </c>
      <c r="F45" s="115">
        <f>E45+F44-E49</f>
        <v>0</v>
      </c>
      <c r="G45" s="115">
        <f aca="true" t="shared" si="43" ref="G45:O45">F45+G44-F49</f>
        <v>0</v>
      </c>
      <c r="H45" s="115">
        <f t="shared" si="43"/>
        <v>0.8572320252779626</v>
      </c>
      <c r="I45" s="115">
        <f t="shared" si="43"/>
        <v>1.3477970389866725</v>
      </c>
      <c r="J45" s="115">
        <f t="shared" si="43"/>
        <v>1.4994405903689856</v>
      </c>
      <c r="K45" s="115">
        <f t="shared" si="43"/>
        <v>1.5186797379554189</v>
      </c>
      <c r="L45" s="115">
        <f t="shared" si="43"/>
        <v>1.5186797379554189</v>
      </c>
      <c r="M45" s="115">
        <f t="shared" si="43"/>
        <v>1.3330156480528896</v>
      </c>
      <c r="N45" s="115">
        <f t="shared" si="43"/>
        <v>0.9498783858917101</v>
      </c>
      <c r="O45" s="115">
        <f t="shared" si="43"/>
        <v>0.5569929605544868</v>
      </c>
      <c r="P45" s="115">
        <f>O45+P44-O49</f>
        <v>0</v>
      </c>
      <c r="Q45" s="115">
        <f>P45+Q44-P49</f>
        <v>0</v>
      </c>
      <c r="R45" s="115">
        <f>Q45+R44-Q49</f>
        <v>0</v>
      </c>
      <c r="S45" s="115">
        <f>R45+S44-R49</f>
        <v>0</v>
      </c>
      <c r="T45" s="115">
        <f>S45+T44-S49</f>
        <v>0</v>
      </c>
      <c r="U45" s="115">
        <f>T45+U44-T49</f>
        <v>0</v>
      </c>
      <c r="V45" s="115">
        <f>U45+V44-U49</f>
        <v>0</v>
      </c>
      <c r="W45" s="115">
        <f>V45+W44-V49</f>
        <v>0</v>
      </c>
      <c r="X45" s="115">
        <f>W45+X44-W49</f>
        <v>0</v>
      </c>
      <c r="Y45" s="115">
        <f>X45+Y44-X49</f>
        <v>0</v>
      </c>
      <c r="Z45" s="115">
        <f>Y45+Z44-Y49</f>
        <v>0</v>
      </c>
      <c r="AA45" s="115">
        <f>Z45+AA44-Z49</f>
        <v>0</v>
      </c>
      <c r="AB45" s="115">
        <f>AA45+AB44-AA49</f>
        <v>0</v>
      </c>
      <c r="AC45" s="115">
        <f>AB45+AC44-AB49</f>
        <v>0</v>
      </c>
      <c r="AD45" s="115">
        <f>AC45+AD44-AC49</f>
        <v>0</v>
      </c>
      <c r="AE45" s="115">
        <f>AD45+AE44-AD49</f>
        <v>0</v>
      </c>
    </row>
    <row r="46" spans="3:31" ht="12.75">
      <c r="C46" s="114" t="s">
        <v>195</v>
      </c>
      <c r="D46" s="114" t="str">
        <f>D45</f>
        <v>Rs. Crores</v>
      </c>
      <c r="E46" s="118">
        <f>IF(E24=E28,E24,0)</f>
        <v>0</v>
      </c>
      <c r="F46" s="118">
        <f aca="true" t="shared" si="44" ref="F46:O46">IF(F24=F28,F24,0)</f>
        <v>0</v>
      </c>
      <c r="G46" s="118">
        <f t="shared" si="44"/>
        <v>1.852882614064036</v>
      </c>
      <c r="H46" s="118">
        <f t="shared" si="44"/>
        <v>0</v>
      </c>
      <c r="I46" s="118">
        <f t="shared" si="44"/>
        <v>0</v>
      </c>
      <c r="J46" s="118">
        <f t="shared" si="44"/>
        <v>0</v>
      </c>
      <c r="K46" s="118">
        <f t="shared" si="44"/>
        <v>0</v>
      </c>
      <c r="L46" s="118">
        <f t="shared" si="44"/>
        <v>2.0997004998915587</v>
      </c>
      <c r="M46" s="118">
        <f t="shared" si="44"/>
        <v>2.316982561699009</v>
      </c>
      <c r="N46" s="118">
        <f t="shared" si="44"/>
        <v>2.4008243609870465</v>
      </c>
      <c r="O46" s="118">
        <f t="shared" si="44"/>
        <v>2.752572182073243</v>
      </c>
      <c r="P46" s="118">
        <f>IF(P24=P28,P24,0)</f>
        <v>2.9711606059452653</v>
      </c>
      <c r="Q46" s="118">
        <f>IF(Q24=Q28,Q24,0)</f>
        <v>3.0743662449141955</v>
      </c>
      <c r="R46" s="118">
        <f aca="true" t="shared" si="45" ref="R46:AE46">IF(R24=R28,R24,0)</f>
        <v>3.2003350010142766</v>
      </c>
      <c r="S46" s="118">
        <f t="shared" si="45"/>
        <v>3.210644766550805</v>
      </c>
      <c r="T46" s="118">
        <f t="shared" si="45"/>
        <v>3.0974131442338044</v>
      </c>
      <c r="U46" s="118">
        <f t="shared" si="45"/>
        <v>3.1404426781098227</v>
      </c>
      <c r="V46" s="118">
        <f t="shared" si="45"/>
        <v>3.011387824114378</v>
      </c>
      <c r="W46" s="118">
        <f t="shared" si="45"/>
        <v>2.9551730272831365</v>
      </c>
      <c r="X46" s="118">
        <f t="shared" si="45"/>
        <v>2.9846711133172747</v>
      </c>
      <c r="Y46" s="118">
        <f t="shared" si="45"/>
        <v>2.915703906996538</v>
      </c>
      <c r="Z46" s="118">
        <f t="shared" si="45"/>
        <v>2.71675929179703</v>
      </c>
      <c r="AA46" s="118">
        <f t="shared" si="45"/>
        <v>2.7434675365857033</v>
      </c>
      <c r="AB46" s="118">
        <f t="shared" si="45"/>
        <v>2.7247318418499584</v>
      </c>
      <c r="AC46" s="118">
        <f t="shared" si="45"/>
        <v>2.6460066664127346</v>
      </c>
      <c r="AD46" s="118">
        <f t="shared" si="45"/>
        <v>2.650074825854797</v>
      </c>
      <c r="AE46" s="118">
        <f t="shared" si="45"/>
        <v>2.638619784824194</v>
      </c>
    </row>
    <row r="47" spans="3:31" ht="12.75">
      <c r="C47" s="114" t="s">
        <v>196</v>
      </c>
      <c r="D47" s="114" t="str">
        <f>D46</f>
        <v>Rs. Crores</v>
      </c>
      <c r="E47" s="118">
        <f>E46</f>
        <v>0</v>
      </c>
      <c r="F47" s="118">
        <f>E47+F46</f>
        <v>0</v>
      </c>
      <c r="G47" s="118">
        <f aca="true" t="shared" si="46" ref="G47:O47">F47+G46</f>
        <v>1.852882614064036</v>
      </c>
      <c r="H47" s="118">
        <f t="shared" si="46"/>
        <v>1.852882614064036</v>
      </c>
      <c r="I47" s="118">
        <f t="shared" si="46"/>
        <v>1.852882614064036</v>
      </c>
      <c r="J47" s="118">
        <f t="shared" si="46"/>
        <v>1.852882614064036</v>
      </c>
      <c r="K47" s="118">
        <f t="shared" si="46"/>
        <v>1.852882614064036</v>
      </c>
      <c r="L47" s="118">
        <f t="shared" si="46"/>
        <v>3.952583113955595</v>
      </c>
      <c r="M47" s="118">
        <f t="shared" si="46"/>
        <v>6.269565675654604</v>
      </c>
      <c r="N47" s="118">
        <f t="shared" si="46"/>
        <v>8.67039003664165</v>
      </c>
      <c r="O47" s="118">
        <f t="shared" si="46"/>
        <v>11.422962218714893</v>
      </c>
      <c r="P47" s="118">
        <f>O47+P46</f>
        <v>14.394122824660158</v>
      </c>
      <c r="Q47" s="118">
        <f>P47+Q46</f>
        <v>17.468489069574353</v>
      </c>
      <c r="R47" s="118">
        <f>Q47+R46</f>
        <v>20.66882407058863</v>
      </c>
      <c r="S47" s="118">
        <f>R47+S46</f>
        <v>23.879468837139434</v>
      </c>
      <c r="T47" s="118">
        <f>S47+T46</f>
        <v>26.97688198137324</v>
      </c>
      <c r="U47" s="118">
        <f>T47+U46</f>
        <v>30.11732465948306</v>
      </c>
      <c r="V47" s="118">
        <f>U47+V46</f>
        <v>33.12871248359744</v>
      </c>
      <c r="W47" s="118">
        <f>V47+W46</f>
        <v>36.08388551088058</v>
      </c>
      <c r="X47" s="118">
        <f>W47+X46</f>
        <v>39.06855662419785</v>
      </c>
      <c r="Y47" s="118">
        <f>X47+Y46</f>
        <v>41.984260531194394</v>
      </c>
      <c r="Z47" s="118">
        <f>Y47+Z46</f>
        <v>44.70101982299143</v>
      </c>
      <c r="AA47" s="118">
        <f>Z47+AA46</f>
        <v>47.44448735957713</v>
      </c>
      <c r="AB47" s="118">
        <f>AA47+AB46</f>
        <v>50.16921920142709</v>
      </c>
      <c r="AC47" s="118">
        <f>AB47+AC46</f>
        <v>52.81522586783983</v>
      </c>
      <c r="AD47" s="118">
        <f>AC47+AD46</f>
        <v>55.46530069369462</v>
      </c>
      <c r="AE47" s="118">
        <f>AD47+AE46</f>
        <v>58.103920478518816</v>
      </c>
    </row>
    <row r="48" spans="3:31" ht="12.75">
      <c r="C48" s="114" t="s">
        <v>197</v>
      </c>
      <c r="D48" s="114" t="str">
        <f>D47</f>
        <v>Rs. Crores</v>
      </c>
      <c r="E48" s="118">
        <f>IF(E46&gt;0,MIN(E45:E46),0)</f>
        <v>0</v>
      </c>
      <c r="F48" s="118">
        <f aca="true" t="shared" si="47" ref="F48:O48">IF(F46&gt;0,MIN(F45:F46),0)</f>
        <v>0</v>
      </c>
      <c r="G48" s="118">
        <f t="shared" si="47"/>
        <v>0</v>
      </c>
      <c r="H48" s="118">
        <f t="shared" si="47"/>
        <v>0</v>
      </c>
      <c r="I48" s="118">
        <f t="shared" si="47"/>
        <v>0</v>
      </c>
      <c r="J48" s="118">
        <f t="shared" si="47"/>
        <v>0</v>
      </c>
      <c r="K48" s="118">
        <f t="shared" si="47"/>
        <v>0</v>
      </c>
      <c r="L48" s="118">
        <f t="shared" si="47"/>
        <v>1.5186797379554189</v>
      </c>
      <c r="M48" s="118">
        <f t="shared" si="47"/>
        <v>1.3330156480528896</v>
      </c>
      <c r="N48" s="118">
        <f t="shared" si="47"/>
        <v>0.9498783858917101</v>
      </c>
      <c r="O48" s="118">
        <f t="shared" si="47"/>
        <v>0.5569929605544868</v>
      </c>
      <c r="P48" s="118">
        <f>IF(P46&gt;0,MIN(P45:P46),0)</f>
        <v>0</v>
      </c>
      <c r="Q48" s="118">
        <f>IF(Q46&gt;0,MIN(Q45:Q46),0)</f>
        <v>0</v>
      </c>
      <c r="R48" s="118">
        <f aca="true" t="shared" si="48" ref="R48:AE48">IF(R46&gt;0,MIN(R45:R46),0)</f>
        <v>0</v>
      </c>
      <c r="S48" s="118">
        <f t="shared" si="48"/>
        <v>0</v>
      </c>
      <c r="T48" s="118">
        <f t="shared" si="48"/>
        <v>0</v>
      </c>
      <c r="U48" s="118">
        <f t="shared" si="48"/>
        <v>0</v>
      </c>
      <c r="V48" s="118">
        <f t="shared" si="48"/>
        <v>0</v>
      </c>
      <c r="W48" s="118">
        <f t="shared" si="48"/>
        <v>0</v>
      </c>
      <c r="X48" s="118">
        <f t="shared" si="48"/>
        <v>0</v>
      </c>
      <c r="Y48" s="118">
        <f t="shared" si="48"/>
        <v>0</v>
      </c>
      <c r="Z48" s="118">
        <f t="shared" si="48"/>
        <v>0</v>
      </c>
      <c r="AA48" s="118">
        <f t="shared" si="48"/>
        <v>0</v>
      </c>
      <c r="AB48" s="118">
        <f t="shared" si="48"/>
        <v>0</v>
      </c>
      <c r="AC48" s="118">
        <f t="shared" si="48"/>
        <v>0</v>
      </c>
      <c r="AD48" s="118">
        <f t="shared" si="48"/>
        <v>0</v>
      </c>
      <c r="AE48" s="118">
        <f t="shared" si="48"/>
        <v>0</v>
      </c>
    </row>
    <row r="49" spans="3:31" ht="12.75">
      <c r="C49" s="114" t="s">
        <v>198</v>
      </c>
      <c r="D49" s="114" t="str">
        <f>D48</f>
        <v>Rs. Crores</v>
      </c>
      <c r="E49" s="118">
        <f>IF(E48&gt;0,IF((E26-E24)&gt;E45,E45,(E24-E26)),0)</f>
        <v>0</v>
      </c>
      <c r="F49" s="118">
        <f>F48</f>
        <v>0</v>
      </c>
      <c r="G49" s="118">
        <f aca="true" t="shared" si="49" ref="G49:Q49">IF(G48&gt;0,IF((G26-G24)&gt;G45,G45,(G24-G26)),0)</f>
        <v>0</v>
      </c>
      <c r="H49" s="118">
        <f t="shared" si="49"/>
        <v>0</v>
      </c>
      <c r="I49" s="118">
        <f t="shared" si="49"/>
        <v>0</v>
      </c>
      <c r="J49" s="118">
        <f t="shared" si="49"/>
        <v>0</v>
      </c>
      <c r="K49" s="118">
        <f t="shared" si="49"/>
        <v>0</v>
      </c>
      <c r="L49" s="118">
        <f t="shared" si="49"/>
        <v>0.18566408990252925</v>
      </c>
      <c r="M49" s="118">
        <f t="shared" si="49"/>
        <v>0.3831372621611795</v>
      </c>
      <c r="N49" s="118">
        <f t="shared" si="49"/>
        <v>0.39288542533722337</v>
      </c>
      <c r="O49" s="118">
        <f>O48</f>
        <v>0.5569929605544868</v>
      </c>
      <c r="P49" s="118">
        <f t="shared" si="49"/>
        <v>0</v>
      </c>
      <c r="Q49" s="118">
        <f t="shared" si="49"/>
        <v>0</v>
      </c>
      <c r="R49" s="118">
        <f aca="true" t="shared" si="50" ref="R49:AE49">IF(R48&gt;0,IF((R26-R24)&gt;R45,R45,(R24-R26)),0)</f>
        <v>0</v>
      </c>
      <c r="S49" s="118">
        <f t="shared" si="50"/>
        <v>0</v>
      </c>
      <c r="T49" s="118">
        <f t="shared" si="50"/>
        <v>0</v>
      </c>
      <c r="U49" s="118">
        <f t="shared" si="50"/>
        <v>0</v>
      </c>
      <c r="V49" s="118">
        <f t="shared" si="50"/>
        <v>0</v>
      </c>
      <c r="W49" s="118">
        <f t="shared" si="50"/>
        <v>0</v>
      </c>
      <c r="X49" s="118">
        <f t="shared" si="50"/>
        <v>0</v>
      </c>
      <c r="Y49" s="118">
        <f t="shared" si="50"/>
        <v>0</v>
      </c>
      <c r="Z49" s="118">
        <f t="shared" si="50"/>
        <v>0</v>
      </c>
      <c r="AA49" s="118">
        <f t="shared" si="50"/>
        <v>0</v>
      </c>
      <c r="AB49" s="118">
        <f t="shared" si="50"/>
        <v>0</v>
      </c>
      <c r="AC49" s="118">
        <f t="shared" si="50"/>
        <v>0</v>
      </c>
      <c r="AD49" s="118">
        <f t="shared" si="50"/>
        <v>0</v>
      </c>
      <c r="AE49" s="118">
        <f t="shared" si="50"/>
        <v>0</v>
      </c>
    </row>
    <row r="50" spans="3:31" ht="12.75">
      <c r="C50" s="114" t="s">
        <v>199</v>
      </c>
      <c r="D50" s="114" t="str">
        <f>D49</f>
        <v>Rs. Crores</v>
      </c>
      <c r="E50" s="118">
        <f>E45-E49</f>
        <v>0</v>
      </c>
      <c r="F50" s="118">
        <f aca="true" t="shared" si="51" ref="F50:O50">F45-F49</f>
        <v>0</v>
      </c>
      <c r="G50" s="118">
        <f t="shared" si="51"/>
        <v>0</v>
      </c>
      <c r="H50" s="118">
        <f t="shared" si="51"/>
        <v>0.8572320252779626</v>
      </c>
      <c r="I50" s="118">
        <f t="shared" si="51"/>
        <v>1.3477970389866725</v>
      </c>
      <c r="J50" s="118">
        <f t="shared" si="51"/>
        <v>1.4994405903689856</v>
      </c>
      <c r="K50" s="118">
        <f t="shared" si="51"/>
        <v>1.5186797379554189</v>
      </c>
      <c r="L50" s="118">
        <f t="shared" si="51"/>
        <v>1.3330156480528896</v>
      </c>
      <c r="M50" s="118">
        <f t="shared" si="51"/>
        <v>0.9498783858917101</v>
      </c>
      <c r="N50" s="118">
        <f t="shared" si="51"/>
        <v>0.5569929605544868</v>
      </c>
      <c r="O50" s="118">
        <f t="shared" si="51"/>
        <v>0</v>
      </c>
      <c r="P50" s="118">
        <f>P45-P49</f>
        <v>0</v>
      </c>
      <c r="Q50" s="118">
        <f>Q45-Q49</f>
        <v>0</v>
      </c>
      <c r="R50" s="118">
        <f aca="true" t="shared" si="52" ref="R50:AE50">R45-R49</f>
        <v>0</v>
      </c>
      <c r="S50" s="118">
        <f t="shared" si="52"/>
        <v>0</v>
      </c>
      <c r="T50" s="118">
        <f t="shared" si="52"/>
        <v>0</v>
      </c>
      <c r="U50" s="118">
        <f t="shared" si="52"/>
        <v>0</v>
      </c>
      <c r="V50" s="118">
        <f t="shared" si="52"/>
        <v>0</v>
      </c>
      <c r="W50" s="118">
        <f t="shared" si="52"/>
        <v>0</v>
      </c>
      <c r="X50" s="118">
        <f t="shared" si="52"/>
        <v>0</v>
      </c>
      <c r="Y50" s="118">
        <f t="shared" si="52"/>
        <v>0</v>
      </c>
      <c r="Z50" s="118">
        <f t="shared" si="52"/>
        <v>0</v>
      </c>
      <c r="AA50" s="118">
        <f t="shared" si="52"/>
        <v>0</v>
      </c>
      <c r="AB50" s="118">
        <f t="shared" si="52"/>
        <v>0</v>
      </c>
      <c r="AC50" s="118">
        <f t="shared" si="52"/>
        <v>0</v>
      </c>
      <c r="AD50" s="118">
        <f t="shared" si="52"/>
        <v>0</v>
      </c>
      <c r="AE50" s="118">
        <f t="shared" si="52"/>
        <v>0</v>
      </c>
    </row>
    <row r="52" spans="4:9" ht="12.75">
      <c r="D52" s="120"/>
      <c r="E52" s="120"/>
      <c r="F52" s="120"/>
      <c r="G52" s="120"/>
      <c r="H52" s="120"/>
      <c r="I52" s="120"/>
    </row>
    <row r="53" spans="3:9" ht="12.75">
      <c r="C53" s="120"/>
      <c r="E53" s="120"/>
      <c r="F53" s="120"/>
      <c r="G53" s="120"/>
      <c r="H53" s="120"/>
      <c r="I53" s="1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E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7" sqref="F7:AE7"/>
    </sheetView>
  </sheetViews>
  <sheetFormatPr defaultColWidth="9.140625" defaultRowHeight="12.75"/>
  <cols>
    <col min="3" max="3" width="38.7109375" style="0" bestFit="1" customWidth="1"/>
    <col min="4" max="4" width="10.57421875" style="0" bestFit="1" customWidth="1"/>
    <col min="5" max="6" width="9.57421875" style="0" customWidth="1"/>
    <col min="7" max="14" width="9.57421875" style="0" bestFit="1" customWidth="1"/>
    <col min="15" max="31" width="9.57421875" style="0" customWidth="1"/>
  </cols>
  <sheetData>
    <row r="2" ht="12.75">
      <c r="C2" s="1" t="s">
        <v>104</v>
      </c>
    </row>
    <row r="4" spans="3:31" ht="12.75">
      <c r="C4" s="59" t="s">
        <v>1</v>
      </c>
      <c r="D4" s="59" t="s">
        <v>2</v>
      </c>
      <c r="E4" s="60">
        <f>Tax!E4</f>
        <v>44651</v>
      </c>
      <c r="F4" s="60">
        <f>Tax!F4</f>
        <v>45016</v>
      </c>
      <c r="G4" s="60">
        <f>Tax!G4</f>
        <v>45382</v>
      </c>
      <c r="H4" s="60">
        <f>Tax!H4</f>
        <v>45747</v>
      </c>
      <c r="I4" s="60">
        <f>Tax!I4</f>
        <v>46112</v>
      </c>
      <c r="J4" s="60">
        <f>Tax!J4</f>
        <v>46477</v>
      </c>
      <c r="K4" s="60">
        <f>Tax!K4</f>
        <v>46843</v>
      </c>
      <c r="L4" s="60">
        <f>Tax!L4</f>
        <v>47208</v>
      </c>
      <c r="M4" s="60">
        <f>Tax!M4</f>
        <v>47573</v>
      </c>
      <c r="N4" s="60">
        <f>Tax!N4</f>
        <v>47938</v>
      </c>
      <c r="O4" s="60">
        <f>Tax!O4</f>
        <v>48304</v>
      </c>
      <c r="P4" s="60">
        <f>Tax!P4</f>
        <v>48669</v>
      </c>
      <c r="Q4" s="60">
        <f>Tax!Q4</f>
        <v>49034</v>
      </c>
      <c r="R4" s="60">
        <f>Tax!R4</f>
        <v>49399</v>
      </c>
      <c r="S4" s="60">
        <f>Tax!S4</f>
        <v>49765</v>
      </c>
      <c r="T4" s="60">
        <f>Tax!T4</f>
        <v>50130</v>
      </c>
      <c r="U4" s="60">
        <f>Tax!U4</f>
        <v>50495</v>
      </c>
      <c r="V4" s="60">
        <f>Tax!V4</f>
        <v>50860</v>
      </c>
      <c r="W4" s="60">
        <f>Tax!W4</f>
        <v>51226</v>
      </c>
      <c r="X4" s="60">
        <f>Tax!X4</f>
        <v>51591</v>
      </c>
      <c r="Y4" s="60">
        <f>Tax!Y4</f>
        <v>51956</v>
      </c>
      <c r="Z4" s="60">
        <f>Tax!Z4</f>
        <v>52321</v>
      </c>
      <c r="AA4" s="60">
        <f>Tax!AA4</f>
        <v>52687</v>
      </c>
      <c r="AB4" s="60">
        <f>Tax!AB4</f>
        <v>53052</v>
      </c>
      <c r="AC4" s="60">
        <f>Tax!AC4</f>
        <v>53417</v>
      </c>
      <c r="AD4" s="60">
        <f>Tax!AD4</f>
        <v>53782</v>
      </c>
      <c r="AE4" s="60">
        <f>Tax!AE4</f>
        <v>54148</v>
      </c>
    </row>
    <row r="5" spans="3:31" s="1" customFormat="1" ht="12.75">
      <c r="C5" s="139" t="s">
        <v>105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3:31" ht="12.75">
      <c r="C6" s="5" t="s">
        <v>63</v>
      </c>
      <c r="D6" s="5" t="str">
        <f>Tax!D5</f>
        <v>Rs. Crores</v>
      </c>
      <c r="E6" s="19">
        <f>Capex!E18</f>
        <v>2.7711451076166043</v>
      </c>
      <c r="F6" s="19">
        <f>E6+Capex!F18</f>
        <v>8.415715064733337</v>
      </c>
      <c r="G6" s="19">
        <f>F6+Capex!G18</f>
        <v>10.325088871687884</v>
      </c>
      <c r="H6" s="19">
        <f>G6+Capex!H18</f>
        <v>10.325088871687884</v>
      </c>
      <c r="I6" s="19">
        <f>H6+Capex!I18</f>
        <v>10.325088871687884</v>
      </c>
      <c r="J6" s="19">
        <f>I6+Capex!J18</f>
        <v>12.425088871687883</v>
      </c>
      <c r="K6" s="19">
        <f>J6+Capex!K18</f>
        <v>12.425088871687883</v>
      </c>
      <c r="L6" s="19">
        <f>K6+Capex!L18</f>
        <v>12.425088871687883</v>
      </c>
      <c r="M6" s="19">
        <f>L6+Capex!M18</f>
        <v>15.925088871687883</v>
      </c>
      <c r="N6" s="19">
        <f>M6+Capex!N18</f>
        <v>15.925088871687883</v>
      </c>
      <c r="O6" s="19">
        <f>N6+Capex!O18</f>
        <v>16.025088871687885</v>
      </c>
      <c r="P6" s="19">
        <f>O6+Capex!P18</f>
        <v>20.025088871687885</v>
      </c>
      <c r="Q6" s="19">
        <f>P6</f>
        <v>20.025088871687885</v>
      </c>
      <c r="R6" s="19">
        <f aca="true" t="shared" si="0" ref="R6:AE6">Q6</f>
        <v>20.025088871687885</v>
      </c>
      <c r="S6" s="19">
        <f t="shared" si="0"/>
        <v>20.025088871687885</v>
      </c>
      <c r="T6" s="19">
        <f t="shared" si="0"/>
        <v>20.025088871687885</v>
      </c>
      <c r="U6" s="19">
        <f t="shared" si="0"/>
        <v>20.025088871687885</v>
      </c>
      <c r="V6" s="19">
        <f t="shared" si="0"/>
        <v>20.025088871687885</v>
      </c>
      <c r="W6" s="19">
        <f t="shared" si="0"/>
        <v>20.025088871687885</v>
      </c>
      <c r="X6" s="19">
        <f t="shared" si="0"/>
        <v>20.025088871687885</v>
      </c>
      <c r="Y6" s="19">
        <f t="shared" si="0"/>
        <v>20.025088871687885</v>
      </c>
      <c r="Z6" s="19">
        <f t="shared" si="0"/>
        <v>20.025088871687885</v>
      </c>
      <c r="AA6" s="19">
        <f t="shared" si="0"/>
        <v>20.025088871687885</v>
      </c>
      <c r="AB6" s="19">
        <f t="shared" si="0"/>
        <v>20.025088871687885</v>
      </c>
      <c r="AC6" s="19">
        <f t="shared" si="0"/>
        <v>20.025088871687885</v>
      </c>
      <c r="AD6" s="19">
        <f t="shared" si="0"/>
        <v>20.025088871687885</v>
      </c>
      <c r="AE6" s="19">
        <f t="shared" si="0"/>
        <v>20.025088871687885</v>
      </c>
    </row>
    <row r="7" spans="3:31" ht="12.75">
      <c r="C7" s="5" t="s">
        <v>106</v>
      </c>
      <c r="D7" s="5" t="str">
        <f>D6</f>
        <v>Rs. Crores</v>
      </c>
      <c r="E7" s="19">
        <f>'P&amp;L'!E34</f>
        <v>0</v>
      </c>
      <c r="F7" s="19">
        <f>E7+'P&amp;L'!F34</f>
        <v>0</v>
      </c>
      <c r="G7" s="19">
        <f>F7+'P&amp;L'!G34</f>
        <v>5.855288333721521</v>
      </c>
      <c r="H7" s="19">
        <f>G7+'P&amp;L'!H34</f>
        <v>10.458747876987765</v>
      </c>
      <c r="I7" s="19">
        <f>H7+'P&amp;L'!I34</f>
        <v>15.064442160715162</v>
      </c>
      <c r="J7" s="19">
        <f>I7+'P&amp;L'!J34</f>
        <v>20.476172342640474</v>
      </c>
      <c r="K7" s="19">
        <f>J7+'P&amp;L'!K34</f>
        <v>26.138515738342207</v>
      </c>
      <c r="L7" s="19">
        <f>K7+'P&amp;L'!L34</f>
        <v>32.045203761104005</v>
      </c>
      <c r="M7" s="19">
        <f>L7+'P&amp;L'!M34</f>
        <v>38.01302172373084</v>
      </c>
      <c r="N7" s="19">
        <f>M7+'P&amp;L'!N34</f>
        <v>44.209491550398276</v>
      </c>
      <c r="O7" s="19">
        <f>N7+'P&amp;L'!O34</f>
        <v>50.52815273104822</v>
      </c>
      <c r="P7" s="19">
        <f>O7+'P&amp;L'!P34</f>
        <v>56.383443995846726</v>
      </c>
      <c r="Q7" s="19">
        <f>P7+'P&amp;L'!Q34</f>
        <v>62.55762357445693</v>
      </c>
      <c r="R7" s="19">
        <f>Q7+'P&amp;L'!R34</f>
        <v>68.683555825674</v>
      </c>
      <c r="S7" s="19">
        <f>R7+'P&amp;L'!S34</f>
        <v>74.46565876195075</v>
      </c>
      <c r="T7" s="19">
        <f>S7+'P&amp;L'!T34</f>
        <v>80.22299565607574</v>
      </c>
      <c r="U7" s="19">
        <f>T7+'P&amp;L'!U34</f>
        <v>85.84534723401211</v>
      </c>
      <c r="V7" s="19">
        <f>U7+'P&amp;L'!V34</f>
        <v>91.32128221723164</v>
      </c>
      <c r="W7" s="19">
        <f>V7+'P&amp;L'!W34</f>
        <v>96.73391504017107</v>
      </c>
      <c r="X7" s="19">
        <f>W7+'P&amp;L'!X34</f>
        <v>102.0117323495212</v>
      </c>
      <c r="Y7" s="19">
        <f>X7+'P&amp;L'!Y34</f>
        <v>106.7992899142752</v>
      </c>
      <c r="Z7" s="19">
        <f>Y7+'P&amp;L'!Z34</f>
        <v>111.62204338069738</v>
      </c>
      <c r="AA7" s="19">
        <f>Z7+'P&amp;L'!AA34</f>
        <v>116.2961134183124</v>
      </c>
      <c r="AB7" s="19">
        <f>AA7+'P&amp;L'!AB34</f>
        <v>120.69206507915835</v>
      </c>
      <c r="AC7" s="19">
        <f>AB7+'P&amp;L'!AC34</f>
        <v>125.01411161191312</v>
      </c>
      <c r="AD7" s="19">
        <f>AC7+'P&amp;L'!AD34</f>
        <v>129.1712765853196</v>
      </c>
      <c r="AE7" s="19">
        <f>AD7+'P&amp;L'!AE34</f>
        <v>133.19287859530766</v>
      </c>
    </row>
    <row r="8" spans="3:31" s="1" customFormat="1" ht="12.75">
      <c r="C8" s="20" t="s">
        <v>107</v>
      </c>
      <c r="D8" s="20" t="str">
        <f>D7</f>
        <v>Rs. Crores</v>
      </c>
      <c r="E8" s="21">
        <f>SUM(E6:E7)</f>
        <v>2.7711451076166043</v>
      </c>
      <c r="F8" s="21">
        <f aca="true" t="shared" si="1" ref="F8:O8">SUM(F6:F7)</f>
        <v>8.415715064733337</v>
      </c>
      <c r="G8" s="21">
        <f t="shared" si="1"/>
        <v>16.180377205409407</v>
      </c>
      <c r="H8" s="21">
        <f t="shared" si="1"/>
        <v>20.783836748675647</v>
      </c>
      <c r="I8" s="21">
        <f t="shared" si="1"/>
        <v>25.389531032403045</v>
      </c>
      <c r="J8" s="21">
        <f t="shared" si="1"/>
        <v>32.90126121432836</v>
      </c>
      <c r="K8" s="21">
        <f t="shared" si="1"/>
        <v>38.56360461003009</v>
      </c>
      <c r="L8" s="21">
        <f t="shared" si="1"/>
        <v>44.47029263279189</v>
      </c>
      <c r="M8" s="21">
        <f t="shared" si="1"/>
        <v>53.93811059541872</v>
      </c>
      <c r="N8" s="21">
        <f t="shared" si="1"/>
        <v>60.13458042208616</v>
      </c>
      <c r="O8" s="21">
        <f t="shared" si="1"/>
        <v>66.55324160273611</v>
      </c>
      <c r="P8" s="21">
        <f>SUM(P6:P7)</f>
        <v>76.4085328675346</v>
      </c>
      <c r="Q8" s="21">
        <f>SUM(Q6:Q7)</f>
        <v>82.58271244614482</v>
      </c>
      <c r="R8" s="21">
        <f aca="true" t="shared" si="2" ref="R8:AE8">SUM(R6:R7)</f>
        <v>88.70864469736189</v>
      </c>
      <c r="S8" s="21">
        <f t="shared" si="2"/>
        <v>94.49074763363863</v>
      </c>
      <c r="T8" s="21">
        <f t="shared" si="2"/>
        <v>100.24808452776362</v>
      </c>
      <c r="U8" s="21">
        <f t="shared" si="2"/>
        <v>105.8704361057</v>
      </c>
      <c r="V8" s="21">
        <f t="shared" si="2"/>
        <v>111.34637108891953</v>
      </c>
      <c r="W8" s="21">
        <f t="shared" si="2"/>
        <v>116.75900391185895</v>
      </c>
      <c r="X8" s="21">
        <f t="shared" si="2"/>
        <v>122.03682122120908</v>
      </c>
      <c r="Y8" s="21">
        <f t="shared" si="2"/>
        <v>126.82437878596309</v>
      </c>
      <c r="Z8" s="21">
        <f t="shared" si="2"/>
        <v>131.64713225238526</v>
      </c>
      <c r="AA8" s="21">
        <f t="shared" si="2"/>
        <v>136.3212022900003</v>
      </c>
      <c r="AB8" s="21">
        <f t="shared" si="2"/>
        <v>140.71715395084624</v>
      </c>
      <c r="AC8" s="21">
        <f t="shared" si="2"/>
        <v>145.039200483601</v>
      </c>
      <c r="AD8" s="21">
        <f t="shared" si="2"/>
        <v>149.19636545700746</v>
      </c>
      <c r="AE8" s="21">
        <f t="shared" si="2"/>
        <v>153.21796746699556</v>
      </c>
    </row>
    <row r="9" spans="3:31" ht="12.7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3:31" ht="12.75">
      <c r="C10" s="5" t="s">
        <v>108</v>
      </c>
      <c r="D10" s="5" t="str">
        <f>D8</f>
        <v>Rs. Crores</v>
      </c>
      <c r="E10" s="14">
        <f>Interest!E10</f>
        <v>15.703155609827416</v>
      </c>
      <c r="F10" s="14">
        <f>Interest!F10</f>
        <v>47.68905203348891</v>
      </c>
      <c r="G10" s="14">
        <f>Interest!G10</f>
        <v>58.50883693956468</v>
      </c>
      <c r="H10" s="14">
        <f>Interest!H10</f>
        <v>52.50793058678881</v>
      </c>
      <c r="I10" s="14">
        <f>Interest!I10</f>
        <v>46.50702423401294</v>
      </c>
      <c r="J10" s="14">
        <f>Interest!J10</f>
        <v>40.50611788123707</v>
      </c>
      <c r="K10" s="14">
        <f>Interest!K10</f>
        <v>34.505211528461196</v>
      </c>
      <c r="L10" s="14">
        <f>Interest!L10</f>
        <v>28.504305175685325</v>
      </c>
      <c r="M10" s="14">
        <f>Interest!M10</f>
        <v>22.503398822909453</v>
      </c>
      <c r="N10" s="14">
        <f>Interest!N10</f>
        <v>16.502492470133582</v>
      </c>
      <c r="O10" s="14">
        <f>Interest!O10</f>
        <v>10.501586117357718</v>
      </c>
      <c r="P10" s="14">
        <f>Interest!P10</f>
        <v>4.500679764581854</v>
      </c>
      <c r="Q10" s="14">
        <f>Interest!Q10</f>
        <v>0</v>
      </c>
      <c r="R10" s="14">
        <f>Interest!R10</f>
        <v>0</v>
      </c>
      <c r="S10" s="14">
        <f>Interest!S10</f>
        <v>0</v>
      </c>
      <c r="T10" s="14">
        <f>Interest!T10</f>
        <v>0</v>
      </c>
      <c r="U10" s="14">
        <f>Interest!U10</f>
        <v>0</v>
      </c>
      <c r="V10" s="14">
        <f>Interest!V10</f>
        <v>0</v>
      </c>
      <c r="W10" s="14">
        <f>Interest!W10</f>
        <v>0</v>
      </c>
      <c r="X10" s="14">
        <f>Interest!X10</f>
        <v>0</v>
      </c>
      <c r="Y10" s="14">
        <f>Interest!Y10</f>
        <v>0</v>
      </c>
      <c r="Z10" s="14">
        <f>Interest!Z10</f>
        <v>0</v>
      </c>
      <c r="AA10" s="14">
        <f>Interest!AA10</f>
        <v>0</v>
      </c>
      <c r="AB10" s="14">
        <f>Interest!AB10</f>
        <v>0</v>
      </c>
      <c r="AC10" s="14">
        <f>Interest!AC10</f>
        <v>0</v>
      </c>
      <c r="AD10" s="14">
        <f>Interest!AD10</f>
        <v>0</v>
      </c>
      <c r="AE10" s="14">
        <f>Interest!AE10</f>
        <v>0</v>
      </c>
    </row>
    <row r="11" spans="3:31" ht="12.75">
      <c r="C11" s="11" t="s">
        <v>103</v>
      </c>
      <c r="D11" s="11" t="str">
        <f>D10</f>
        <v>Rs. Crores</v>
      </c>
      <c r="E11" s="32">
        <f>WC!E15</f>
        <v>0</v>
      </c>
      <c r="F11" s="32">
        <f>WC!F15</f>
        <v>0</v>
      </c>
      <c r="G11" s="32">
        <f>WC!G15</f>
        <v>2.8911417202974254</v>
      </c>
      <c r="H11" s="32">
        <f>WC!H15</f>
        <v>3.07373133457041</v>
      </c>
      <c r="I11" s="32">
        <f>WC!I15</f>
        <v>3.255116053683383</v>
      </c>
      <c r="J11" s="32">
        <f>WC!J15</f>
        <v>3.4387116585540207</v>
      </c>
      <c r="K11" s="32">
        <f>WC!K15</f>
        <v>3.4321356689473808</v>
      </c>
      <c r="L11" s="32">
        <f>WC!L15</f>
        <v>3.425175522153128</v>
      </c>
      <c r="M11" s="32">
        <f>WC!M15</f>
        <v>3.4241864661675248</v>
      </c>
      <c r="N11" s="32">
        <f>WC!N15</f>
        <v>3.4165855894723904</v>
      </c>
      <c r="O11" s="32">
        <f>WC!O15</f>
        <v>3.40873362161363</v>
      </c>
      <c r="P11" s="32">
        <f>WC!P15</f>
        <v>3.4201137812378573</v>
      </c>
      <c r="Q11" s="32">
        <f>WC!Q15</f>
        <v>3.4238726545084</v>
      </c>
      <c r="R11" s="32">
        <f>WC!R15</f>
        <v>3.42774429397706</v>
      </c>
      <c r="S11" s="32">
        <f>WC!S15</f>
        <v>3.439345499283256</v>
      </c>
      <c r="T11" s="32">
        <f>WC!T15</f>
        <v>3.4442414540346666</v>
      </c>
      <c r="U11" s="32">
        <f>WC!U15</f>
        <v>3.4487241574891145</v>
      </c>
      <c r="V11" s="32">
        <f>WC!V15</f>
        <v>3.4580952768697686</v>
      </c>
      <c r="W11" s="32">
        <f>WC!W15</f>
        <v>3.4629935950092694</v>
      </c>
      <c r="X11" s="32">
        <f>WC!X15</f>
        <v>3.468038862692955</v>
      </c>
      <c r="Y11" s="32">
        <f>WC!Y15</f>
        <v>3.4877807966303758</v>
      </c>
      <c r="Z11" s="32">
        <f>WC!Z15</f>
        <v>3.493569680362695</v>
      </c>
      <c r="AA11" s="32">
        <f>WC!AA15</f>
        <v>3.4995322306069827</v>
      </c>
      <c r="AB11" s="32">
        <f>WC!AB15</f>
        <v>3.511350104151043</v>
      </c>
      <c r="AC11" s="32">
        <f>WC!AC15</f>
        <v>3.517846067108982</v>
      </c>
      <c r="AD11" s="32">
        <f>WC!AD15</f>
        <v>3.525289676755922</v>
      </c>
      <c r="AE11" s="32">
        <f>WC!AE15</f>
        <v>3.5322038268920073</v>
      </c>
    </row>
    <row r="12" spans="3:31" s="1" customFormat="1" ht="12.75">
      <c r="C12" s="16" t="s">
        <v>109</v>
      </c>
      <c r="D12" s="16" t="str">
        <f>D11</f>
        <v>Rs. Crores</v>
      </c>
      <c r="E12" s="68">
        <f aca="true" t="shared" si="3" ref="E12:Q12">SUM(E10:E11)</f>
        <v>15.703155609827416</v>
      </c>
      <c r="F12" s="68">
        <f t="shared" si="3"/>
        <v>47.68905203348891</v>
      </c>
      <c r="G12" s="68">
        <f t="shared" si="3"/>
        <v>61.39997865986211</v>
      </c>
      <c r="H12" s="68">
        <f t="shared" si="3"/>
        <v>55.58166192135922</v>
      </c>
      <c r="I12" s="68">
        <f t="shared" si="3"/>
        <v>49.76214028769632</v>
      </c>
      <c r="J12" s="68">
        <f t="shared" si="3"/>
        <v>43.94482953979109</v>
      </c>
      <c r="K12" s="68">
        <f t="shared" si="3"/>
        <v>37.93734719740858</v>
      </c>
      <c r="L12" s="68">
        <f t="shared" si="3"/>
        <v>31.929480697838454</v>
      </c>
      <c r="M12" s="68">
        <f t="shared" si="3"/>
        <v>25.92758528907698</v>
      </c>
      <c r="N12" s="68">
        <f t="shared" si="3"/>
        <v>19.919078059605972</v>
      </c>
      <c r="O12" s="68">
        <f t="shared" si="3"/>
        <v>13.910319738971348</v>
      </c>
      <c r="P12" s="68">
        <f t="shared" si="3"/>
        <v>7.920793545819711</v>
      </c>
      <c r="Q12" s="68">
        <f t="shared" si="3"/>
        <v>3.4238726545084</v>
      </c>
      <c r="R12" s="68">
        <f aca="true" t="shared" si="4" ref="R12:AE12">SUM(R10:R11)</f>
        <v>3.42774429397706</v>
      </c>
      <c r="S12" s="68">
        <f t="shared" si="4"/>
        <v>3.439345499283256</v>
      </c>
      <c r="T12" s="68">
        <f t="shared" si="4"/>
        <v>3.4442414540346666</v>
      </c>
      <c r="U12" s="68">
        <f t="shared" si="4"/>
        <v>3.4487241574891145</v>
      </c>
      <c r="V12" s="68">
        <f t="shared" si="4"/>
        <v>3.4580952768697686</v>
      </c>
      <c r="W12" s="68">
        <f t="shared" si="4"/>
        <v>3.4629935950092694</v>
      </c>
      <c r="X12" s="68">
        <f t="shared" si="4"/>
        <v>3.468038862692955</v>
      </c>
      <c r="Y12" s="68">
        <f t="shared" si="4"/>
        <v>3.4877807966303758</v>
      </c>
      <c r="Z12" s="68">
        <f t="shared" si="4"/>
        <v>3.493569680362695</v>
      </c>
      <c r="AA12" s="68">
        <f t="shared" si="4"/>
        <v>3.4995322306069827</v>
      </c>
      <c r="AB12" s="68">
        <f t="shared" si="4"/>
        <v>3.511350104151043</v>
      </c>
      <c r="AC12" s="68">
        <f t="shared" si="4"/>
        <v>3.517846067108982</v>
      </c>
      <c r="AD12" s="68">
        <f t="shared" si="4"/>
        <v>3.525289676755922</v>
      </c>
      <c r="AE12" s="68">
        <f t="shared" si="4"/>
        <v>3.5322038268920073</v>
      </c>
    </row>
    <row r="13" spans="3:31" s="1" customFormat="1" ht="12.75">
      <c r="C13" s="20" t="s">
        <v>110</v>
      </c>
      <c r="D13" s="20" t="str">
        <f>D12</f>
        <v>Rs. Crores</v>
      </c>
      <c r="E13" s="21">
        <f aca="true" t="shared" si="5" ref="E13:Q13">E8+E12</f>
        <v>18.47430071744402</v>
      </c>
      <c r="F13" s="21">
        <f t="shared" si="5"/>
        <v>56.104767098222254</v>
      </c>
      <c r="G13" s="21">
        <f t="shared" si="5"/>
        <v>77.58035586527151</v>
      </c>
      <c r="H13" s="21">
        <f t="shared" si="5"/>
        <v>76.36549867003487</v>
      </c>
      <c r="I13" s="21">
        <f t="shared" si="5"/>
        <v>75.15167132009937</v>
      </c>
      <c r="J13" s="21">
        <f t="shared" si="5"/>
        <v>76.84609075411944</v>
      </c>
      <c r="K13" s="21">
        <f t="shared" si="5"/>
        <v>76.50095180743867</v>
      </c>
      <c r="L13" s="21">
        <f t="shared" si="5"/>
        <v>76.39977333063034</v>
      </c>
      <c r="M13" s="21">
        <f t="shared" si="5"/>
        <v>79.8656958844957</v>
      </c>
      <c r="N13" s="21">
        <f t="shared" si="5"/>
        <v>80.05365848169214</v>
      </c>
      <c r="O13" s="21">
        <f t="shared" si="5"/>
        <v>80.46356134170746</v>
      </c>
      <c r="P13" s="21">
        <f t="shared" si="5"/>
        <v>84.32932641335431</v>
      </c>
      <c r="Q13" s="21">
        <f t="shared" si="5"/>
        <v>86.00658510065323</v>
      </c>
      <c r="R13" s="21">
        <f aca="true" t="shared" si="6" ref="R13:AE13">R8+R12</f>
        <v>92.13638899133895</v>
      </c>
      <c r="S13" s="21">
        <f t="shared" si="6"/>
        <v>97.93009313292188</v>
      </c>
      <c r="T13" s="21">
        <f t="shared" si="6"/>
        <v>103.69232598179829</v>
      </c>
      <c r="U13" s="21">
        <f t="shared" si="6"/>
        <v>109.3191602631891</v>
      </c>
      <c r="V13" s="21">
        <f t="shared" si="6"/>
        <v>114.8044663657893</v>
      </c>
      <c r="W13" s="21">
        <f t="shared" si="6"/>
        <v>120.22199750686822</v>
      </c>
      <c r="X13" s="21">
        <f t="shared" si="6"/>
        <v>125.50486008390203</v>
      </c>
      <c r="Y13" s="21">
        <f t="shared" si="6"/>
        <v>130.31215958259347</v>
      </c>
      <c r="Z13" s="21">
        <f t="shared" si="6"/>
        <v>135.14070193274796</v>
      </c>
      <c r="AA13" s="21">
        <f t="shared" si="6"/>
        <v>139.82073452060726</v>
      </c>
      <c r="AB13" s="21">
        <f t="shared" si="6"/>
        <v>144.22850405499727</v>
      </c>
      <c r="AC13" s="21">
        <f t="shared" si="6"/>
        <v>148.55704655071</v>
      </c>
      <c r="AD13" s="21">
        <f t="shared" si="6"/>
        <v>152.7216551337634</v>
      </c>
      <c r="AE13" s="21">
        <f t="shared" si="6"/>
        <v>156.75017129388758</v>
      </c>
    </row>
    <row r="14" spans="3:31" ht="12.75">
      <c r="C14" s="139" t="s">
        <v>111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</row>
    <row r="15" spans="3:31" ht="12.75">
      <c r="C15" s="11" t="s">
        <v>112</v>
      </c>
      <c r="D15" s="5" t="str">
        <f>D13</f>
        <v>Rs. Crores</v>
      </c>
      <c r="E15" s="14">
        <f>Depreciation!E5</f>
        <v>15.736701529464206</v>
      </c>
      <c r="F15" s="14">
        <f>Depreciation!F5</f>
        <v>46.2830894419642</v>
      </c>
      <c r="G15" s="14">
        <f>Depreciation!G5</f>
        <v>53.2414219107142</v>
      </c>
      <c r="H15" s="14">
        <f>Depreciation!H5</f>
        <v>53.2414219107142</v>
      </c>
      <c r="I15" s="14">
        <f>Depreciation!I5</f>
        <v>53.2414219107142</v>
      </c>
      <c r="J15" s="14">
        <f>Depreciation!J5</f>
        <v>55.3414219107142</v>
      </c>
      <c r="K15" s="14">
        <f>Depreciation!K5</f>
        <v>55.3414219107142</v>
      </c>
      <c r="L15" s="14">
        <f>Depreciation!L5</f>
        <v>55.3414219107142</v>
      </c>
      <c r="M15" s="14">
        <f>Depreciation!M5</f>
        <v>58.8414219107142</v>
      </c>
      <c r="N15" s="14">
        <f>Depreciation!N5</f>
        <v>58.8414219107142</v>
      </c>
      <c r="O15" s="14">
        <f>Depreciation!O5</f>
        <v>58.9414219107142</v>
      </c>
      <c r="P15" s="14">
        <f>Depreciation!P5</f>
        <v>62.9414219107142</v>
      </c>
      <c r="Q15" s="14">
        <f>Depreciation!Q5</f>
        <v>62.9414219107142</v>
      </c>
      <c r="R15" s="14">
        <f>Depreciation!R5</f>
        <v>62.9414219107142</v>
      </c>
      <c r="S15" s="14">
        <f>Depreciation!S5</f>
        <v>66.4414219107142</v>
      </c>
      <c r="T15" s="14">
        <f>Depreciation!T5</f>
        <v>66.6914219107142</v>
      </c>
      <c r="U15" s="14">
        <f>Depreciation!U5</f>
        <v>66.6914219107142</v>
      </c>
      <c r="V15" s="14">
        <f>Depreciation!V5</f>
        <v>68.6914219107142</v>
      </c>
      <c r="W15" s="14">
        <f>Depreciation!W5</f>
        <v>68.6914219107142</v>
      </c>
      <c r="X15" s="14">
        <f>Depreciation!X5</f>
        <v>68.6914219107142</v>
      </c>
      <c r="Y15" s="14">
        <f>Depreciation!Y5</f>
        <v>74.2914219107142</v>
      </c>
      <c r="Z15" s="14">
        <f>Depreciation!Z5</f>
        <v>74.2914219107142</v>
      </c>
      <c r="AA15" s="14">
        <f>Depreciation!AA5</f>
        <v>74.2914219107142</v>
      </c>
      <c r="AB15" s="14">
        <f>Depreciation!AB5</f>
        <v>76.2914219107142</v>
      </c>
      <c r="AC15" s="14">
        <f>Depreciation!AC5</f>
        <v>76.2914219107142</v>
      </c>
      <c r="AD15" s="14">
        <f>Depreciation!AD5</f>
        <v>76.5414219107142</v>
      </c>
      <c r="AE15" s="14">
        <f>Depreciation!AE5</f>
        <v>76.5414219107142</v>
      </c>
    </row>
    <row r="16" spans="3:31" ht="12.75">
      <c r="C16" s="11" t="s">
        <v>77</v>
      </c>
      <c r="D16" s="5" t="str">
        <f>D15</f>
        <v>Rs. Crores</v>
      </c>
      <c r="E16" s="14">
        <f>Depreciation!E15</f>
        <v>0</v>
      </c>
      <c r="F16" s="14">
        <f>Depreciation!F15</f>
        <v>0</v>
      </c>
      <c r="G16" s="14">
        <f>Depreciation!G15</f>
        <v>2.0233009949999996</v>
      </c>
      <c r="H16" s="14">
        <f>Depreciation!H15</f>
        <v>4.046601989999999</v>
      </c>
      <c r="I16" s="14">
        <f>Depreciation!I15</f>
        <v>6.069902985</v>
      </c>
      <c r="J16" s="14">
        <f>Depreciation!J15</f>
        <v>8.177203979999998</v>
      </c>
      <c r="K16" s="14">
        <f>Depreciation!K15</f>
        <v>10.284504974999999</v>
      </c>
      <c r="L16" s="14">
        <f>Depreciation!L15</f>
        <v>12.39180597</v>
      </c>
      <c r="M16" s="14">
        <f>Depreciation!M15</f>
        <v>14.639106965</v>
      </c>
      <c r="N16" s="14">
        <f>Depreciation!N15</f>
        <v>16.88640796</v>
      </c>
      <c r="O16" s="14">
        <f>Depreciation!O15</f>
        <v>19.137708955</v>
      </c>
      <c r="P16" s="14">
        <f>Depreciation!P15</f>
        <v>21.549009950000002</v>
      </c>
      <c r="Q16" s="14">
        <f>Depreciation!Q15</f>
        <v>23.960310945</v>
      </c>
      <c r="R16" s="14">
        <f>Depreciation!R15</f>
        <v>26.371611939999998</v>
      </c>
      <c r="S16" s="14">
        <f>Depreciation!S15</f>
        <v>28.922912935</v>
      </c>
      <c r="T16" s="14">
        <f>Depreciation!T15</f>
        <v>31.484213930000003</v>
      </c>
      <c r="U16" s="14">
        <f>Depreciation!U15</f>
        <v>34.045514925</v>
      </c>
      <c r="V16" s="14">
        <f>Depreciation!V15</f>
        <v>36.68681592</v>
      </c>
      <c r="W16" s="14">
        <f>Depreciation!W15</f>
        <v>39.328116914999995</v>
      </c>
      <c r="X16" s="14">
        <f>Depreciation!X15</f>
        <v>41.96941791</v>
      </c>
      <c r="Y16" s="14">
        <f>Depreciation!Y15</f>
        <v>44.834718904999995</v>
      </c>
      <c r="Z16" s="14">
        <f>Depreciation!Z15</f>
        <v>47.70001990000001</v>
      </c>
      <c r="AA16" s="14">
        <f>Depreciation!AA15</f>
        <v>50.565320895000006</v>
      </c>
      <c r="AB16" s="14">
        <f>Depreciation!AB15</f>
        <v>53.51062189000001</v>
      </c>
      <c r="AC16" s="14">
        <f>Depreciation!AC15</f>
        <v>56.45592288500001</v>
      </c>
      <c r="AD16" s="14">
        <f>Depreciation!AD15</f>
        <v>59.41122388000001</v>
      </c>
      <c r="AE16" s="14">
        <f>Depreciation!AE15</f>
        <v>62.36652487500001</v>
      </c>
    </row>
    <row r="17" spans="3:31" ht="12.75">
      <c r="C17" s="16" t="s">
        <v>113</v>
      </c>
      <c r="D17" s="20" t="str">
        <f>D16</f>
        <v>Rs. Crores</v>
      </c>
      <c r="E17" s="28">
        <f>E15-E16</f>
        <v>15.736701529464206</v>
      </c>
      <c r="F17" s="28">
        <f aca="true" t="shared" si="7" ref="F17:O17">F15-F16</f>
        <v>46.2830894419642</v>
      </c>
      <c r="G17" s="28">
        <f t="shared" si="7"/>
        <v>51.2181209157142</v>
      </c>
      <c r="H17" s="28">
        <f t="shared" si="7"/>
        <v>49.1948199207142</v>
      </c>
      <c r="I17" s="28">
        <f t="shared" si="7"/>
        <v>47.1715189257142</v>
      </c>
      <c r="J17" s="28">
        <f t="shared" si="7"/>
        <v>47.1642179307142</v>
      </c>
      <c r="K17" s="28">
        <f t="shared" si="7"/>
        <v>45.056916935714206</v>
      </c>
      <c r="L17" s="28">
        <f t="shared" si="7"/>
        <v>42.9496159407142</v>
      </c>
      <c r="M17" s="28">
        <f t="shared" si="7"/>
        <v>44.20231494571421</v>
      </c>
      <c r="N17" s="28">
        <f t="shared" si="7"/>
        <v>41.9550139507142</v>
      </c>
      <c r="O17" s="28">
        <f t="shared" si="7"/>
        <v>39.8037129557142</v>
      </c>
      <c r="P17" s="28">
        <f>P15-P16</f>
        <v>41.3924119607142</v>
      </c>
      <c r="Q17" s="28">
        <f>Q15-Q16</f>
        <v>38.981110965714194</v>
      </c>
      <c r="R17" s="28">
        <f aca="true" t="shared" si="8" ref="R17:AE17">R15-R16</f>
        <v>36.5698099707142</v>
      </c>
      <c r="S17" s="28">
        <f t="shared" si="8"/>
        <v>37.5185089757142</v>
      </c>
      <c r="T17" s="28">
        <f t="shared" si="8"/>
        <v>35.207207980714195</v>
      </c>
      <c r="U17" s="28">
        <f t="shared" si="8"/>
        <v>32.6459069857142</v>
      </c>
      <c r="V17" s="28">
        <f t="shared" si="8"/>
        <v>32.0046059907142</v>
      </c>
      <c r="W17" s="28">
        <f t="shared" si="8"/>
        <v>29.363304995714202</v>
      </c>
      <c r="X17" s="28">
        <f t="shared" si="8"/>
        <v>26.7220040007142</v>
      </c>
      <c r="Y17" s="28">
        <f t="shared" si="8"/>
        <v>29.45670300571421</v>
      </c>
      <c r="Z17" s="28">
        <f t="shared" si="8"/>
        <v>26.591402010714198</v>
      </c>
      <c r="AA17" s="28">
        <f t="shared" si="8"/>
        <v>23.7261010157142</v>
      </c>
      <c r="AB17" s="28">
        <f t="shared" si="8"/>
        <v>22.780800020714196</v>
      </c>
      <c r="AC17" s="28">
        <f t="shared" si="8"/>
        <v>19.8354990257142</v>
      </c>
      <c r="AD17" s="28">
        <f t="shared" si="8"/>
        <v>17.130198030714197</v>
      </c>
      <c r="AE17" s="28">
        <f t="shared" si="8"/>
        <v>14.174897035714196</v>
      </c>
    </row>
    <row r="18" spans="3:31" s="15" customFormat="1" ht="12.75">
      <c r="C18" s="16" t="s">
        <v>114</v>
      </c>
      <c r="D18" s="20" t="str">
        <f>D17</f>
        <v>Rs. Crores</v>
      </c>
      <c r="E18" s="32">
        <f>'CF'!E23</f>
        <v>0</v>
      </c>
      <c r="F18" s="32">
        <f>'CF'!F23</f>
        <v>0</v>
      </c>
      <c r="G18" s="32">
        <f>'CF'!G23</f>
        <v>0</v>
      </c>
      <c r="H18" s="32">
        <f>'CF'!H23</f>
        <v>0</v>
      </c>
      <c r="I18" s="32">
        <f>'CF'!I23</f>
        <v>0</v>
      </c>
      <c r="J18" s="32">
        <f>'CF'!J23</f>
        <v>0</v>
      </c>
      <c r="K18" s="32">
        <f>'CF'!K23</f>
        <v>0</v>
      </c>
      <c r="L18" s="32">
        <f>'CF'!L23</f>
        <v>0</v>
      </c>
      <c r="M18" s="32">
        <f>'CF'!M23</f>
        <v>0</v>
      </c>
      <c r="N18" s="32">
        <f>'CF'!N23</f>
        <v>0</v>
      </c>
      <c r="O18" s="32">
        <f>'CF'!O23</f>
        <v>0</v>
      </c>
      <c r="P18" s="32">
        <f>'CF'!P23</f>
        <v>0</v>
      </c>
      <c r="Q18" s="32">
        <f>'CF'!Q23</f>
        <v>0</v>
      </c>
      <c r="R18" s="32">
        <f>'CF'!R23</f>
        <v>0</v>
      </c>
      <c r="S18" s="32">
        <f>'CF'!S23</f>
        <v>0</v>
      </c>
      <c r="T18" s="32">
        <f>'CF'!T23</f>
        <v>1.3338580071432347</v>
      </c>
      <c r="U18" s="32">
        <f>'CF'!U23</f>
        <v>10.921604240078892</v>
      </c>
      <c r="V18" s="32">
        <f>'CF'!V23</f>
        <v>18.404700257643086</v>
      </c>
      <c r="W18" s="32">
        <f>'CF'!W23</f>
        <v>27.810159508604215</v>
      </c>
      <c r="X18" s="32">
        <f>'CF'!X23</f>
        <v>37.04705038439731</v>
      </c>
      <c r="Y18" s="32">
        <f>'CF'!Y23</f>
        <v>40.29021769069399</v>
      </c>
      <c r="Z18" s="32">
        <f>'CF'!Z23</f>
        <v>49.18203089081092</v>
      </c>
      <c r="AA18" s="32">
        <f>'CF'!AA23</f>
        <v>57.88793191608161</v>
      </c>
      <c r="AB18" s="32">
        <f>'CF'!AB23</f>
        <v>64.3242331959577</v>
      </c>
      <c r="AC18" s="32">
        <f>'CF'!AC23</f>
        <v>72.66992703591518</v>
      </c>
      <c r="AD18" s="32">
        <f>'CF'!AD23</f>
        <v>80.5692030444576</v>
      </c>
      <c r="AE18" s="32">
        <f>'CF'!AE23</f>
        <v>88.54920183523066</v>
      </c>
    </row>
    <row r="19" spans="3:31" ht="12.75">
      <c r="C19" s="16" t="s">
        <v>115</v>
      </c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3:31" ht="12.75">
      <c r="C20" s="74" t="s">
        <v>116</v>
      </c>
      <c r="D20" s="75" t="str">
        <f>D18</f>
        <v>Rs. Crores</v>
      </c>
      <c r="E20" s="76">
        <f>WC!E5</f>
        <v>0</v>
      </c>
      <c r="F20" s="76">
        <f>WC!F5</f>
        <v>0</v>
      </c>
      <c r="G20" s="76">
        <f>WC!G5</f>
        <v>1.1663999999999999</v>
      </c>
      <c r="H20" s="76">
        <f>WC!H5</f>
        <v>1.24416</v>
      </c>
      <c r="I20" s="76">
        <f>WC!I5</f>
        <v>1.3219200000000002</v>
      </c>
      <c r="J20" s="76">
        <f>WC!J5</f>
        <v>1.3996800000000005</v>
      </c>
      <c r="K20" s="76">
        <f>WC!K5</f>
        <v>1.39968</v>
      </c>
      <c r="L20" s="76">
        <f>WC!L5</f>
        <v>1.39968</v>
      </c>
      <c r="M20" s="76">
        <f>WC!M5</f>
        <v>1.39968</v>
      </c>
      <c r="N20" s="76">
        <f>WC!N5</f>
        <v>1.39968</v>
      </c>
      <c r="O20" s="76">
        <f>WC!O5</f>
        <v>1.39968</v>
      </c>
      <c r="P20" s="76">
        <f>WC!P5</f>
        <v>1.39968</v>
      </c>
      <c r="Q20" s="76">
        <f>WC!Q5</f>
        <v>1.39968</v>
      </c>
      <c r="R20" s="76">
        <f>WC!R5</f>
        <v>1.39968</v>
      </c>
      <c r="S20" s="76">
        <f>WC!S5</f>
        <v>1.39968</v>
      </c>
      <c r="T20" s="76">
        <f>WC!T5</f>
        <v>1.39968</v>
      </c>
      <c r="U20" s="76">
        <f>WC!U5</f>
        <v>1.39968</v>
      </c>
      <c r="V20" s="76">
        <f>WC!V5</f>
        <v>1.39968</v>
      </c>
      <c r="W20" s="76">
        <f>WC!W5</f>
        <v>1.39968</v>
      </c>
      <c r="X20" s="76">
        <f>WC!X5</f>
        <v>1.39968</v>
      </c>
      <c r="Y20" s="76">
        <f>WC!Y5</f>
        <v>1.39968</v>
      </c>
      <c r="Z20" s="76">
        <f>WC!Z5</f>
        <v>1.39968</v>
      </c>
      <c r="AA20" s="76">
        <f>WC!AA5</f>
        <v>1.39968</v>
      </c>
      <c r="AB20" s="76">
        <f>WC!AB5</f>
        <v>1.39968</v>
      </c>
      <c r="AC20" s="76">
        <f>WC!AC5</f>
        <v>1.39968</v>
      </c>
      <c r="AD20" s="76">
        <f>WC!AD5</f>
        <v>1.39968</v>
      </c>
      <c r="AE20" s="76">
        <f>WC!AE5</f>
        <v>1.39968</v>
      </c>
    </row>
    <row r="21" spans="3:31" ht="12.75">
      <c r="C21" s="74" t="s">
        <v>117</v>
      </c>
      <c r="D21" s="75" t="str">
        <f>D20</f>
        <v>Rs. Crores</v>
      </c>
      <c r="E21" s="76">
        <f>WC!E6</f>
        <v>0</v>
      </c>
      <c r="F21" s="76">
        <f>WC!F6</f>
        <v>0</v>
      </c>
      <c r="G21" s="76">
        <f>WC!G6</f>
        <v>0.2395863985982139</v>
      </c>
      <c r="H21" s="76">
        <f>WC!H6</f>
        <v>0.2467739905561603</v>
      </c>
      <c r="I21" s="76">
        <f>WC!I6</f>
        <v>0.2541772102728451</v>
      </c>
      <c r="J21" s="76">
        <f>WC!J6</f>
        <v>0.2721287967310305</v>
      </c>
      <c r="K21" s="76">
        <f>WC!K6</f>
        <v>0.28029266063296143</v>
      </c>
      <c r="L21" s="76">
        <f>WC!L6</f>
        <v>0.28870144045195034</v>
      </c>
      <c r="M21" s="76">
        <f>WC!M6</f>
        <v>0.3161688073358406</v>
      </c>
      <c r="N21" s="76">
        <f>WC!N6</f>
        <v>0.3256538715559158</v>
      </c>
      <c r="O21" s="76">
        <f>WC!O6</f>
        <v>0.3359935342392177</v>
      </c>
      <c r="P21" s="76">
        <f>WC!P6</f>
        <v>0.3695592575753206</v>
      </c>
      <c r="Q21" s="76">
        <f>WC!Q6</f>
        <v>0.3806460353025803</v>
      </c>
      <c r="R21" s="76">
        <f>WC!R6</f>
        <v>0.39206541636165765</v>
      </c>
      <c r="S21" s="76">
        <f>WC!S6</f>
        <v>0.42628311282033476</v>
      </c>
      <c r="T21" s="76">
        <f>WC!T6</f>
        <v>0.44072370663257776</v>
      </c>
      <c r="U21" s="76">
        <f>WC!U6</f>
        <v>0.4539454178315551</v>
      </c>
      <c r="V21" s="76">
        <f>WC!V6</f>
        <v>0.48158548711590876</v>
      </c>
      <c r="W21" s="76">
        <f>WC!W6</f>
        <v>0.49603305172938594</v>
      </c>
      <c r="X21" s="76">
        <f>WC!X6</f>
        <v>0.5109140432812675</v>
      </c>
      <c r="Y21" s="76">
        <f>WC!Y6</f>
        <v>0.5691427777229512</v>
      </c>
      <c r="Z21" s="76">
        <f>WC!Z6</f>
        <v>0.5862170610546398</v>
      </c>
      <c r="AA21" s="76">
        <f>WC!AA6</f>
        <v>0.6038035728862791</v>
      </c>
      <c r="AB21" s="76">
        <f>WC!AB6</f>
        <v>0.6386603312182529</v>
      </c>
      <c r="AC21" s="76">
        <f>WC!AC6</f>
        <v>0.6578201411548005</v>
      </c>
      <c r="AD21" s="76">
        <f>WC!AD6</f>
        <v>0.679775030214462</v>
      </c>
      <c r="AE21" s="76">
        <f>WC!AE6</f>
        <v>0.7001682811208958</v>
      </c>
    </row>
    <row r="22" spans="3:31" ht="12.75">
      <c r="C22" s="74" t="s">
        <v>42</v>
      </c>
      <c r="D22" s="75" t="str">
        <f>D21</f>
        <v>Rs. Crores</v>
      </c>
      <c r="E22" s="76">
        <f>WC!E7</f>
        <v>0</v>
      </c>
      <c r="F22" s="76">
        <f>WC!F7</f>
        <v>0</v>
      </c>
      <c r="G22" s="76">
        <f>WC!G7</f>
        <v>2.759518125</v>
      </c>
      <c r="H22" s="76">
        <f>WC!H7</f>
        <v>2.943486</v>
      </c>
      <c r="I22" s="76">
        <f>WC!I7</f>
        <v>3.1274538750000014</v>
      </c>
      <c r="J22" s="76">
        <f>WC!J7</f>
        <v>3.311421750000001</v>
      </c>
      <c r="K22" s="76">
        <f>WC!K7</f>
        <v>3.31142175</v>
      </c>
      <c r="L22" s="76">
        <f>WC!L7</f>
        <v>3.31142175</v>
      </c>
      <c r="M22" s="76">
        <f>WC!M7</f>
        <v>3.31142175</v>
      </c>
      <c r="N22" s="76">
        <f>WC!N7</f>
        <v>3.31142175</v>
      </c>
      <c r="O22" s="14">
        <f>WC!O7</f>
        <v>3.31142175</v>
      </c>
      <c r="P22" s="14">
        <f>WC!P7</f>
        <v>3.31142175</v>
      </c>
      <c r="Q22" s="14">
        <f>WC!Q7</f>
        <v>3.31142175</v>
      </c>
      <c r="R22" s="14">
        <f>WC!R7</f>
        <v>3.31142175</v>
      </c>
      <c r="S22" s="14">
        <f>WC!S7</f>
        <v>3.31142175</v>
      </c>
      <c r="T22" s="14">
        <f>WC!T7</f>
        <v>3.31142175</v>
      </c>
      <c r="U22" s="14">
        <f>WC!U7</f>
        <v>3.31142175</v>
      </c>
      <c r="V22" s="14">
        <f>WC!V7</f>
        <v>3.31142175</v>
      </c>
      <c r="W22" s="14">
        <f>WC!W7</f>
        <v>3.31142175</v>
      </c>
      <c r="X22" s="14">
        <f>WC!X7</f>
        <v>3.31142175</v>
      </c>
      <c r="Y22" s="14">
        <f>WC!Y7</f>
        <v>3.31142175</v>
      </c>
      <c r="Z22" s="14">
        <f>WC!Z7</f>
        <v>3.31142175</v>
      </c>
      <c r="AA22" s="14">
        <f>WC!AA7</f>
        <v>3.31142175</v>
      </c>
      <c r="AB22" s="14">
        <f>WC!AB7</f>
        <v>3.31142175</v>
      </c>
      <c r="AC22" s="14">
        <f>WC!AC7</f>
        <v>3.31142175</v>
      </c>
      <c r="AD22" s="14">
        <f>WC!AD7</f>
        <v>3.31142175</v>
      </c>
      <c r="AE22" s="14">
        <f>WC!AE7</f>
        <v>3.31142175</v>
      </c>
    </row>
    <row r="23" spans="3:31" ht="12.75">
      <c r="C23" s="74" t="s">
        <v>118</v>
      </c>
      <c r="D23" s="75" t="str">
        <f>D22</f>
        <v>Rs. Crores</v>
      </c>
      <c r="E23" s="76">
        <f>'CF'!E26</f>
        <v>2.7375991879798143</v>
      </c>
      <c r="F23" s="76">
        <f>'CF'!F26</f>
        <v>9.82167765625805</v>
      </c>
      <c r="G23" s="76">
        <f>'CF'!G26</f>
        <v>22.507379322494078</v>
      </c>
      <c r="H23" s="76">
        <f>'CF'!H26</f>
        <v>23.072370303226794</v>
      </c>
      <c r="I23" s="76">
        <f>'CF'!I26</f>
        <v>24.79142122707252</v>
      </c>
      <c r="J23" s="76">
        <f>'CF'!J26</f>
        <v>27.60128006174641</v>
      </c>
      <c r="K23" s="76">
        <f>'CF'!K26</f>
        <v>30.787795945133258</v>
      </c>
      <c r="L23" s="76">
        <f>'CF'!L26</f>
        <v>34.27987066474106</v>
      </c>
      <c r="M23" s="76">
        <f>'CF'!M26</f>
        <v>37.98636744557727</v>
      </c>
      <c r="N23" s="76">
        <f>'CF'!N26</f>
        <v>41.98088299670075</v>
      </c>
      <c r="O23" s="14">
        <f>'CF'!O26</f>
        <v>46.13222143735691</v>
      </c>
      <c r="P23" s="14">
        <f>'CF'!P26</f>
        <v>49.85793677403776</v>
      </c>
      <c r="Q23" s="14">
        <f>'CF'!Q26</f>
        <v>55.48502951996182</v>
      </c>
      <c r="R23" s="14">
        <f>'CF'!R26</f>
        <v>65.55245528249361</v>
      </c>
      <c r="S23" s="14">
        <f>'CF'!S26</f>
        <v>71.82751787940414</v>
      </c>
      <c r="T23" s="14">
        <f>'CF'!T26</f>
        <v>80</v>
      </c>
      <c r="U23" s="14">
        <f>'CF'!U26</f>
        <v>80</v>
      </c>
      <c r="V23" s="14">
        <f>'CF'!V26</f>
        <v>80</v>
      </c>
      <c r="W23" s="14">
        <f>'CF'!W26</f>
        <v>80</v>
      </c>
      <c r="X23" s="14">
        <f>'CF'!X26</f>
        <v>80</v>
      </c>
      <c r="Y23" s="14">
        <f>'CF'!Y26</f>
        <v>80</v>
      </c>
      <c r="Z23" s="14">
        <f>'CF'!Z26</f>
        <v>80</v>
      </c>
      <c r="AA23" s="14">
        <f>'CF'!AA26</f>
        <v>80</v>
      </c>
      <c r="AB23" s="14">
        <f>'CF'!AB26</f>
        <v>80</v>
      </c>
      <c r="AC23" s="14">
        <f>'CF'!AC26</f>
        <v>80</v>
      </c>
      <c r="AD23" s="14">
        <f>'CF'!AD26</f>
        <v>80</v>
      </c>
      <c r="AE23" s="14">
        <f>'CF'!AE26</f>
        <v>80</v>
      </c>
    </row>
    <row r="24" spans="3:31" s="73" customFormat="1" ht="12.75">
      <c r="C24" s="70" t="s">
        <v>97</v>
      </c>
      <c r="D24" s="71" t="str">
        <f aca="true" t="shared" si="9" ref="D24:D29">D23</f>
        <v>Rs. Crores</v>
      </c>
      <c r="E24" s="72">
        <f>SUM(E20:E23)</f>
        <v>2.7375991879798143</v>
      </c>
      <c r="F24" s="72">
        <f aca="true" t="shared" si="10" ref="F24:O24">SUM(F20:F23)</f>
        <v>9.82167765625805</v>
      </c>
      <c r="G24" s="72">
        <f t="shared" si="10"/>
        <v>26.67288384609229</v>
      </c>
      <c r="H24" s="72">
        <f t="shared" si="10"/>
        <v>27.506790293782956</v>
      </c>
      <c r="I24" s="72">
        <f t="shared" si="10"/>
        <v>29.494972312345364</v>
      </c>
      <c r="J24" s="72">
        <f t="shared" si="10"/>
        <v>32.584510608477444</v>
      </c>
      <c r="K24" s="72">
        <f t="shared" si="10"/>
        <v>35.77919035576622</v>
      </c>
      <c r="L24" s="72">
        <f t="shared" si="10"/>
        <v>39.27967385519301</v>
      </c>
      <c r="M24" s="72">
        <f t="shared" si="10"/>
        <v>43.01363800291311</v>
      </c>
      <c r="N24" s="72">
        <f t="shared" si="10"/>
        <v>47.01763861825667</v>
      </c>
      <c r="O24" s="72">
        <f t="shared" si="10"/>
        <v>51.17931672159613</v>
      </c>
      <c r="P24" s="72">
        <f>SUM(P20:P23)</f>
        <v>54.93859778161308</v>
      </c>
      <c r="Q24" s="72">
        <f>SUM(Q20:Q23)</f>
        <v>60.5767773052644</v>
      </c>
      <c r="R24" s="72">
        <f aca="true" t="shared" si="11" ref="R24:AE24">SUM(R20:R23)</f>
        <v>70.65562244885527</v>
      </c>
      <c r="S24" s="72">
        <f t="shared" si="11"/>
        <v>76.96490274222448</v>
      </c>
      <c r="T24" s="72">
        <f t="shared" si="11"/>
        <v>85.15182545663258</v>
      </c>
      <c r="U24" s="72">
        <f t="shared" si="11"/>
        <v>85.16504716783156</v>
      </c>
      <c r="V24" s="72">
        <f t="shared" si="11"/>
        <v>85.1926872371159</v>
      </c>
      <c r="W24" s="72">
        <f t="shared" si="11"/>
        <v>85.20713480172938</v>
      </c>
      <c r="X24" s="72">
        <f t="shared" si="11"/>
        <v>85.22201579328127</v>
      </c>
      <c r="Y24" s="72">
        <f t="shared" si="11"/>
        <v>85.28024452772296</v>
      </c>
      <c r="Z24" s="72">
        <f t="shared" si="11"/>
        <v>85.29731881105464</v>
      </c>
      <c r="AA24" s="72">
        <f t="shared" si="11"/>
        <v>85.31490532288628</v>
      </c>
      <c r="AB24" s="72">
        <f t="shared" si="11"/>
        <v>85.34976208121826</v>
      </c>
      <c r="AC24" s="72">
        <f t="shared" si="11"/>
        <v>85.3689218911548</v>
      </c>
      <c r="AD24" s="72">
        <f t="shared" si="11"/>
        <v>85.39087678021446</v>
      </c>
      <c r="AE24" s="72">
        <f t="shared" si="11"/>
        <v>85.41127003112089</v>
      </c>
    </row>
    <row r="25" spans="3:31" ht="12.75">
      <c r="C25" s="74" t="s">
        <v>98</v>
      </c>
      <c r="D25" s="75" t="str">
        <f t="shared" si="9"/>
        <v>Rs. Crores</v>
      </c>
      <c r="E25" s="76">
        <f>WC!E9</f>
        <v>0</v>
      </c>
      <c r="F25" s="76">
        <f>WC!F9</f>
        <v>0</v>
      </c>
      <c r="G25" s="76">
        <f>WC!G9</f>
        <v>0.31064889653498023</v>
      </c>
      <c r="H25" s="76">
        <f>WC!H9</f>
        <v>0.3361115444622797</v>
      </c>
      <c r="I25" s="76">
        <f>WC!I9</f>
        <v>0.3633963470283356</v>
      </c>
      <c r="J25" s="76">
        <f>WC!J9</f>
        <v>0.39828166865900444</v>
      </c>
      <c r="K25" s="76">
        <f>WC!K9</f>
        <v>0.4152135187031213</v>
      </c>
      <c r="L25" s="76">
        <f>WC!L9</f>
        <v>0.43290249424777927</v>
      </c>
      <c r="M25" s="76">
        <f>WC!M9</f>
        <v>0.46168860244580806</v>
      </c>
      <c r="N25" s="76">
        <f>WC!N9</f>
        <v>0.48130816892606193</v>
      </c>
      <c r="O25" s="14">
        <f>WC!O9</f>
        <v>0.5021171220877108</v>
      </c>
      <c r="P25" s="14">
        <f>WC!P9</f>
        <v>0.5205092992581782</v>
      </c>
      <c r="Q25" s="14">
        <f>WC!Q9</f>
        <v>0.5265842459580464</v>
      </c>
      <c r="R25" s="14">
        <f>WC!R9</f>
        <v>0.5328414410589107</v>
      </c>
      <c r="S25" s="14">
        <f>WC!S9</f>
        <v>0.5515908637759941</v>
      </c>
      <c r="T25" s="14">
        <f>WC!T9</f>
        <v>0.559503517919689</v>
      </c>
      <c r="U25" s="14">
        <f>WC!U9</f>
        <v>0.5667482911794026</v>
      </c>
      <c r="V25" s="14">
        <f>WC!V9</f>
        <v>0.581893534622884</v>
      </c>
      <c r="W25" s="14">
        <f>WC!W9</f>
        <v>0.5898100083836935</v>
      </c>
      <c r="X25" s="14">
        <f>WC!X9</f>
        <v>0.5979639763573271</v>
      </c>
      <c r="Y25" s="14">
        <f>WC!Y9</f>
        <v>0.6298701322157839</v>
      </c>
      <c r="Z25" s="14">
        <f>WC!Z9</f>
        <v>0.6392259039043805</v>
      </c>
      <c r="AA25" s="14">
        <f>WC!AA9</f>
        <v>0.6488623487436349</v>
      </c>
      <c r="AB25" s="14">
        <f>WC!AB9</f>
        <v>0.6679619423501959</v>
      </c>
      <c r="AC25" s="14">
        <f>WC!AC9</f>
        <v>0.6784604683428247</v>
      </c>
      <c r="AD25" s="14">
        <f>WC!AD9</f>
        <v>0.6904905445398996</v>
      </c>
      <c r="AE25" s="14">
        <f>WC!AE9</f>
        <v>0.7016649285982193</v>
      </c>
    </row>
    <row r="26" spans="3:31" s="1" customFormat="1" ht="12.75">
      <c r="C26" s="70" t="s">
        <v>99</v>
      </c>
      <c r="D26" s="71" t="str">
        <f t="shared" si="9"/>
        <v>Rs. Crores</v>
      </c>
      <c r="E26" s="72">
        <f aca="true" t="shared" si="12" ref="E26:N26">SUM(E25:E25)</f>
        <v>0</v>
      </c>
      <c r="F26" s="72">
        <f t="shared" si="12"/>
        <v>0</v>
      </c>
      <c r="G26" s="72">
        <f t="shared" si="12"/>
        <v>0.31064889653498023</v>
      </c>
      <c r="H26" s="72">
        <f t="shared" si="12"/>
        <v>0.3361115444622797</v>
      </c>
      <c r="I26" s="72">
        <f t="shared" si="12"/>
        <v>0.3633963470283356</v>
      </c>
      <c r="J26" s="72">
        <f t="shared" si="12"/>
        <v>0.39828166865900444</v>
      </c>
      <c r="K26" s="72">
        <f t="shared" si="12"/>
        <v>0.4152135187031213</v>
      </c>
      <c r="L26" s="72">
        <f t="shared" si="12"/>
        <v>0.43290249424777927</v>
      </c>
      <c r="M26" s="72">
        <f t="shared" si="12"/>
        <v>0.46168860244580806</v>
      </c>
      <c r="N26" s="72">
        <f t="shared" si="12"/>
        <v>0.48130816892606193</v>
      </c>
      <c r="O26" s="28">
        <f>O25</f>
        <v>0.5021171220877108</v>
      </c>
      <c r="P26" s="28">
        <f>P25</f>
        <v>0.5205092992581782</v>
      </c>
      <c r="Q26" s="28">
        <f>Q25</f>
        <v>0.5265842459580464</v>
      </c>
      <c r="R26" s="28">
        <f aca="true" t="shared" si="13" ref="R26:AE26">R25</f>
        <v>0.5328414410589107</v>
      </c>
      <c r="S26" s="28">
        <f t="shared" si="13"/>
        <v>0.5515908637759941</v>
      </c>
      <c r="T26" s="28">
        <f t="shared" si="13"/>
        <v>0.559503517919689</v>
      </c>
      <c r="U26" s="28">
        <f t="shared" si="13"/>
        <v>0.5667482911794026</v>
      </c>
      <c r="V26" s="28">
        <f t="shared" si="13"/>
        <v>0.581893534622884</v>
      </c>
      <c r="W26" s="28">
        <f t="shared" si="13"/>
        <v>0.5898100083836935</v>
      </c>
      <c r="X26" s="28">
        <f t="shared" si="13"/>
        <v>0.5979639763573271</v>
      </c>
      <c r="Y26" s="28">
        <f t="shared" si="13"/>
        <v>0.6298701322157839</v>
      </c>
      <c r="Z26" s="28">
        <f t="shared" si="13"/>
        <v>0.6392259039043805</v>
      </c>
      <c r="AA26" s="28">
        <f t="shared" si="13"/>
        <v>0.6488623487436349</v>
      </c>
      <c r="AB26" s="28">
        <f t="shared" si="13"/>
        <v>0.6679619423501959</v>
      </c>
      <c r="AC26" s="28">
        <f t="shared" si="13"/>
        <v>0.6784604683428247</v>
      </c>
      <c r="AD26" s="28">
        <f t="shared" si="13"/>
        <v>0.6904905445398996</v>
      </c>
      <c r="AE26" s="28">
        <f t="shared" si="13"/>
        <v>0.7016649285982193</v>
      </c>
    </row>
    <row r="27" spans="3:31" s="1" customFormat="1" ht="12.75">
      <c r="C27" s="16" t="s">
        <v>119</v>
      </c>
      <c r="D27" s="20" t="str">
        <f t="shared" si="9"/>
        <v>Rs. Crores</v>
      </c>
      <c r="E27" s="28">
        <f aca="true" t="shared" si="14" ref="E27:Q27">E24-E26</f>
        <v>2.7375991879798143</v>
      </c>
      <c r="F27" s="28">
        <f t="shared" si="14"/>
        <v>9.82167765625805</v>
      </c>
      <c r="G27" s="28">
        <f t="shared" si="14"/>
        <v>26.36223494955731</v>
      </c>
      <c r="H27" s="28">
        <f t="shared" si="14"/>
        <v>27.170678749320675</v>
      </c>
      <c r="I27" s="28">
        <f t="shared" si="14"/>
        <v>29.13157596531703</v>
      </c>
      <c r="J27" s="28">
        <f t="shared" si="14"/>
        <v>32.18622893981844</v>
      </c>
      <c r="K27" s="28">
        <f t="shared" si="14"/>
        <v>35.3639768370631</v>
      </c>
      <c r="L27" s="28">
        <f t="shared" si="14"/>
        <v>38.84677136094523</v>
      </c>
      <c r="M27" s="28">
        <f t="shared" si="14"/>
        <v>42.5519494004673</v>
      </c>
      <c r="N27" s="28">
        <f t="shared" si="14"/>
        <v>46.536330449330606</v>
      </c>
      <c r="O27" s="28">
        <f t="shared" si="14"/>
        <v>50.67719959950842</v>
      </c>
      <c r="P27" s="28">
        <f t="shared" si="14"/>
        <v>54.418088482354904</v>
      </c>
      <c r="Q27" s="28">
        <f t="shared" si="14"/>
        <v>60.05019305930635</v>
      </c>
      <c r="R27" s="28">
        <f aca="true" t="shared" si="15" ref="R27:AE27">R24-R26</f>
        <v>70.12278100779636</v>
      </c>
      <c r="S27" s="28">
        <f t="shared" si="15"/>
        <v>76.41331187844848</v>
      </c>
      <c r="T27" s="28">
        <f t="shared" si="15"/>
        <v>84.59232193871289</v>
      </c>
      <c r="U27" s="28">
        <f t="shared" si="15"/>
        <v>84.59829887665215</v>
      </c>
      <c r="V27" s="28">
        <f t="shared" si="15"/>
        <v>84.61079370249303</v>
      </c>
      <c r="W27" s="28">
        <f t="shared" si="15"/>
        <v>84.61732479334569</v>
      </c>
      <c r="X27" s="28">
        <f t="shared" si="15"/>
        <v>84.62405181692395</v>
      </c>
      <c r="Y27" s="28">
        <f t="shared" si="15"/>
        <v>84.65037439550717</v>
      </c>
      <c r="Z27" s="28">
        <f t="shared" si="15"/>
        <v>84.65809290715026</v>
      </c>
      <c r="AA27" s="28">
        <f t="shared" si="15"/>
        <v>84.66604297414264</v>
      </c>
      <c r="AB27" s="28">
        <f t="shared" si="15"/>
        <v>84.68180013886807</v>
      </c>
      <c r="AC27" s="28">
        <f t="shared" si="15"/>
        <v>84.69046142281198</v>
      </c>
      <c r="AD27" s="28">
        <f t="shared" si="15"/>
        <v>84.70038623567456</v>
      </c>
      <c r="AE27" s="28">
        <f t="shared" si="15"/>
        <v>84.70960510252267</v>
      </c>
    </row>
    <row r="28" spans="3:31" ht="12.75">
      <c r="C28" s="26" t="s">
        <v>120</v>
      </c>
      <c r="D28" s="5" t="str">
        <f t="shared" si="9"/>
        <v>Rs. Crores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</row>
    <row r="29" spans="3:31" s="1" customFormat="1" ht="12.75">
      <c r="C29" s="16" t="s">
        <v>121</v>
      </c>
      <c r="D29" s="20" t="str">
        <f t="shared" si="9"/>
        <v>Rs. Crores</v>
      </c>
      <c r="E29" s="28">
        <f aca="true" t="shared" si="16" ref="E29:Q29">E28+E27+E18+E17</f>
        <v>18.47430071744402</v>
      </c>
      <c r="F29" s="28">
        <f t="shared" si="16"/>
        <v>56.104767098222254</v>
      </c>
      <c r="G29" s="28">
        <f t="shared" si="16"/>
        <v>77.58035586527151</v>
      </c>
      <c r="H29" s="28">
        <f t="shared" si="16"/>
        <v>76.36549867003488</v>
      </c>
      <c r="I29" s="28">
        <f t="shared" si="16"/>
        <v>76.30309489103124</v>
      </c>
      <c r="J29" s="28">
        <f t="shared" si="16"/>
        <v>79.35044687053264</v>
      </c>
      <c r="K29" s="28">
        <f t="shared" si="16"/>
        <v>80.4208937727773</v>
      </c>
      <c r="L29" s="28">
        <f t="shared" si="16"/>
        <v>81.79638730165944</v>
      </c>
      <c r="M29" s="28">
        <f t="shared" si="16"/>
        <v>86.75426434618151</v>
      </c>
      <c r="N29" s="28">
        <f t="shared" si="16"/>
        <v>88.49134440004481</v>
      </c>
      <c r="O29" s="28">
        <f t="shared" si="16"/>
        <v>90.48091255522262</v>
      </c>
      <c r="P29" s="28">
        <f t="shared" si="16"/>
        <v>95.8105004430691</v>
      </c>
      <c r="Q29" s="28">
        <f t="shared" si="16"/>
        <v>99.03130402502055</v>
      </c>
      <c r="R29" s="28">
        <f aca="true" t="shared" si="17" ref="R29:AE29">R28+R27+R18+R17</f>
        <v>106.69259097851057</v>
      </c>
      <c r="S29" s="28">
        <f t="shared" si="17"/>
        <v>113.93182085416268</v>
      </c>
      <c r="T29" s="28">
        <f t="shared" si="17"/>
        <v>121.13338792657032</v>
      </c>
      <c r="U29" s="28">
        <f t="shared" si="17"/>
        <v>128.16581010244525</v>
      </c>
      <c r="V29" s="28">
        <f t="shared" si="17"/>
        <v>135.0200999508503</v>
      </c>
      <c r="W29" s="28">
        <f t="shared" si="17"/>
        <v>141.7907892976641</v>
      </c>
      <c r="X29" s="28">
        <f t="shared" si="17"/>
        <v>148.39310620203545</v>
      </c>
      <c r="Y29" s="28">
        <f t="shared" si="17"/>
        <v>154.39729509191537</v>
      </c>
      <c r="Z29" s="28">
        <f t="shared" si="17"/>
        <v>160.4315258086754</v>
      </c>
      <c r="AA29" s="28">
        <f t="shared" si="17"/>
        <v>166.28007590593845</v>
      </c>
      <c r="AB29" s="28">
        <f t="shared" si="17"/>
        <v>171.78683335553995</v>
      </c>
      <c r="AC29" s="28">
        <f t="shared" si="17"/>
        <v>177.19588748444136</v>
      </c>
      <c r="AD29" s="28">
        <f t="shared" si="17"/>
        <v>182.39978731084636</v>
      </c>
      <c r="AE29" s="28">
        <f t="shared" si="17"/>
        <v>187.43370397346752</v>
      </c>
    </row>
    <row r="31" spans="3:31" s="29" customFormat="1" ht="12.75">
      <c r="C31" s="33" t="s">
        <v>122</v>
      </c>
      <c r="E31" s="30">
        <f aca="true" t="shared" si="18" ref="E31:Q31">E13-E29</f>
        <v>0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0">
        <f t="shared" si="18"/>
        <v>-1.1514235709318683</v>
      </c>
      <c r="J31" s="30">
        <f t="shared" si="18"/>
        <v>-2.5043561164131916</v>
      </c>
      <c r="K31" s="30">
        <f t="shared" si="18"/>
        <v>-3.919941965338637</v>
      </c>
      <c r="L31" s="30">
        <f t="shared" si="18"/>
        <v>-5.3966139710290975</v>
      </c>
      <c r="M31" s="30">
        <f t="shared" si="18"/>
        <v>-6.888568461685821</v>
      </c>
      <c r="N31" s="30">
        <f t="shared" si="18"/>
        <v>-8.43768591835267</v>
      </c>
      <c r="O31" s="30">
        <f t="shared" si="18"/>
        <v>-10.017351213515155</v>
      </c>
      <c r="P31" s="30">
        <f t="shared" si="18"/>
        <v>-11.481174029714794</v>
      </c>
      <c r="Q31" s="30">
        <f t="shared" si="18"/>
        <v>-13.02471892436732</v>
      </c>
      <c r="R31" s="30">
        <f aca="true" t="shared" si="19" ref="R31:AE31">R13-R29</f>
        <v>-14.556201987171619</v>
      </c>
      <c r="S31" s="30">
        <f t="shared" si="19"/>
        <v>-16.001727721240798</v>
      </c>
      <c r="T31" s="30">
        <f t="shared" si="19"/>
        <v>-17.44106194477203</v>
      </c>
      <c r="U31" s="30">
        <f t="shared" si="19"/>
        <v>-18.846649839256145</v>
      </c>
      <c r="V31" s="30">
        <f t="shared" si="19"/>
        <v>-20.215633585061</v>
      </c>
      <c r="W31" s="30">
        <f t="shared" si="19"/>
        <v>-21.568791790795885</v>
      </c>
      <c r="X31" s="30">
        <f t="shared" si="19"/>
        <v>-22.888246118133424</v>
      </c>
      <c r="Y31" s="30">
        <f t="shared" si="19"/>
        <v>-24.0851355093219</v>
      </c>
      <c r="Z31" s="30">
        <f t="shared" si="19"/>
        <v>-25.29082387592743</v>
      </c>
      <c r="AA31" s="30">
        <f t="shared" si="19"/>
        <v>-26.459341385331186</v>
      </c>
      <c r="AB31" s="30">
        <f t="shared" si="19"/>
        <v>-27.55832930054268</v>
      </c>
      <c r="AC31" s="30">
        <f t="shared" si="19"/>
        <v>-28.63884093373136</v>
      </c>
      <c r="AD31" s="30">
        <f t="shared" si="19"/>
        <v>-29.678132177082972</v>
      </c>
      <c r="AE31" s="30">
        <f t="shared" si="19"/>
        <v>-30.68353267957994</v>
      </c>
    </row>
    <row r="32" spans="6:31" s="29" customFormat="1" ht="12.75">
      <c r="F32" s="30">
        <f>F31-E31</f>
        <v>0</v>
      </c>
      <c r="G32" s="30">
        <f aca="true" t="shared" si="20" ref="G32:P32">G31-F31</f>
        <v>0</v>
      </c>
      <c r="H32" s="30">
        <f t="shared" si="20"/>
        <v>0</v>
      </c>
      <c r="I32" s="30">
        <f t="shared" si="20"/>
        <v>-1.1514235709318683</v>
      </c>
      <c r="J32" s="30">
        <f t="shared" si="20"/>
        <v>-1.3529325454813232</v>
      </c>
      <c r="K32" s="30">
        <f t="shared" si="20"/>
        <v>-1.4155858489254456</v>
      </c>
      <c r="L32" s="30">
        <f t="shared" si="20"/>
        <v>-1.4766720056904603</v>
      </c>
      <c r="M32" s="30">
        <f t="shared" si="20"/>
        <v>-1.491954490656724</v>
      </c>
      <c r="N32" s="30">
        <f t="shared" si="20"/>
        <v>-1.549117456666849</v>
      </c>
      <c r="O32" s="30">
        <f t="shared" si="20"/>
        <v>-1.579665295162485</v>
      </c>
      <c r="P32" s="30">
        <f t="shared" si="20"/>
        <v>-1.463822816199638</v>
      </c>
      <c r="Q32" s="30">
        <f>Q31-P31</f>
        <v>-1.543544894652527</v>
      </c>
      <c r="R32" s="30">
        <f>R31-Q31</f>
        <v>-1.5314830628042984</v>
      </c>
      <c r="S32" s="30">
        <f>S31-R31</f>
        <v>-1.4455257340691787</v>
      </c>
      <c r="T32" s="30">
        <f>T31-S31</f>
        <v>-1.4393342235312332</v>
      </c>
      <c r="U32" s="30">
        <f>U31-T31</f>
        <v>-1.405587894484114</v>
      </c>
      <c r="V32" s="30">
        <f>V31-U31</f>
        <v>-1.3689837458048544</v>
      </c>
      <c r="W32" s="30">
        <f>W31-V31</f>
        <v>-1.3531582057348857</v>
      </c>
      <c r="X32" s="30">
        <f>X31-W31</f>
        <v>-1.3194543273375388</v>
      </c>
      <c r="Y32" s="30">
        <f>Y31-X31</f>
        <v>-1.1968893911884777</v>
      </c>
      <c r="Z32" s="30">
        <f>Z31-Y31</f>
        <v>-1.2056883666055285</v>
      </c>
      <c r="AA32" s="30">
        <f>AA31-Z31</f>
        <v>-1.168517509403756</v>
      </c>
      <c r="AB32" s="30">
        <f>AB31-AA31</f>
        <v>-1.0989879152114952</v>
      </c>
      <c r="AC32" s="30">
        <f>AC31-AB31</f>
        <v>-1.080511633188678</v>
      </c>
      <c r="AD32" s="30">
        <f>AD31-AC31</f>
        <v>-1.039291243351613</v>
      </c>
      <c r="AE32" s="30">
        <f>AE31-AD31</f>
        <v>-1.0054005024969683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Jha</dc:creator>
  <cp:keywords/>
  <dc:description/>
  <cp:lastModifiedBy>Vatsal Misra</cp:lastModifiedBy>
  <cp:lastPrinted>2021-11-17T14:37:28Z</cp:lastPrinted>
  <dcterms:created xsi:type="dcterms:W3CDTF">2013-01-07T06:37:19Z</dcterms:created>
  <dcterms:modified xsi:type="dcterms:W3CDTF">2022-01-07T09:17:03Z</dcterms:modified>
  <cp:category/>
  <cp:version/>
  <cp:contentType/>
  <cp:contentStatus/>
</cp:coreProperties>
</file>